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Trial Co-ordination\Herbage\Herbage 2020\RGCL\"/>
    </mc:Choice>
  </mc:AlternateContent>
  <bookViews>
    <workbookView xWindow="28680" yWindow="-120" windowWidth="29040" windowHeight="15840" tabRatio="681" activeTab="2"/>
  </bookViews>
  <sheets>
    <sheet name="EPRG" sheetId="10" r:id="rId1"/>
    <sheet name=" IPRG DIP" sheetId="11" r:id="rId2"/>
    <sheet name="IPRG TET" sheetId="24" r:id="rId3"/>
    <sheet name=" LPRG DIP" sheetId="21" r:id="rId4"/>
    <sheet name="LPRG TET" sheetId="25" r:id="rId5"/>
    <sheet name="IRG DIP" sheetId="13" r:id="rId6"/>
    <sheet name="IRG TET" sheetId="22" r:id="rId7"/>
    <sheet name="HRG" sheetId="12" r:id="rId8"/>
    <sheet name="TIM" sheetId="19" r:id="rId9"/>
    <sheet name="WC" sheetId="14" r:id="rId10"/>
    <sheet name="RC" sheetId="16" r:id="rId11"/>
    <sheet name="LU" sheetId="18" r:id="rId12"/>
    <sheet name="CFT" sheetId="17" r:id="rId13"/>
  </sheets>
  <externalReferences>
    <externalReference r:id="rId14"/>
  </externalReferences>
  <definedNames>
    <definedName name="M2Largest_LSD_mean">[1]M2P1!$I$63</definedName>
    <definedName name="_xlnm.Print_Area" localSheetId="1">' IPRG DIP'!$A$1:$R$51</definedName>
    <definedName name="_xlnm.Print_Area" localSheetId="3">' LPRG DIP'!$A$1:$Z$51</definedName>
    <definedName name="_xlnm.Print_Area" localSheetId="0">EPRG!$A$1:$L$52</definedName>
    <definedName name="_xlnm.Print_Area" localSheetId="7">HRG!$A$1:$U$45</definedName>
    <definedName name="_xlnm.Print_Area" localSheetId="2">'IPRG TET'!$A$1:$T$51</definedName>
    <definedName name="_xlnm.Print_Area" localSheetId="5">'IRG DIP'!$A$1:$P$40</definedName>
    <definedName name="_xlnm.Print_Area" localSheetId="4">'LPRG TET'!$A$1:$V$51</definedName>
    <definedName name="_xlnm.Print_Area" localSheetId="8">TIM!$A$1:$L$45</definedName>
    <definedName name="_xlnm.Print_Area" localSheetId="9">WC!$A$1:$S$40</definedName>
    <definedName name="_xlnm.Print_Titles" localSheetId="5">'IRG DIP'!$A:$B</definedName>
    <definedName name="_xlnm.Print_Titles" localSheetId="9">WC!$A:$A</definedName>
  </definedNames>
  <calcPr calcId="162913"/>
</workbook>
</file>

<file path=xl/calcChain.xml><?xml version="1.0" encoding="utf-8"?>
<calcChain xmlns="http://schemas.openxmlformats.org/spreadsheetml/2006/main">
  <c r="T29" i="24" l="1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L27" i="24" l="1"/>
  <c r="L8" i="24"/>
  <c r="K28" i="10" l="1"/>
  <c r="K30" i="10"/>
  <c r="F27" i="21"/>
  <c r="I27" i="21"/>
  <c r="F29" i="21"/>
  <c r="I29" i="21"/>
  <c r="D12" i="17" l="1"/>
  <c r="C12" i="17"/>
  <c r="B12" i="17"/>
  <c r="D10" i="17"/>
  <c r="C10" i="17"/>
  <c r="B10" i="17"/>
  <c r="K25" i="19"/>
  <c r="J25" i="19"/>
  <c r="I25" i="19"/>
  <c r="H25" i="19"/>
  <c r="G25" i="19"/>
  <c r="F25" i="19"/>
  <c r="E25" i="19"/>
  <c r="D25" i="19"/>
  <c r="C25" i="19"/>
  <c r="B25" i="19"/>
  <c r="K23" i="19"/>
  <c r="J23" i="19"/>
  <c r="I23" i="19"/>
  <c r="H23" i="19"/>
  <c r="G23" i="19"/>
  <c r="F23" i="19"/>
  <c r="E23" i="19"/>
  <c r="D23" i="19"/>
  <c r="C23" i="19"/>
  <c r="B23" i="19"/>
  <c r="K8" i="19"/>
  <c r="J8" i="19"/>
  <c r="I8" i="19"/>
  <c r="H8" i="19"/>
  <c r="G8" i="19"/>
  <c r="F8" i="19"/>
  <c r="E8" i="19"/>
  <c r="D8" i="19"/>
  <c r="C8" i="19"/>
  <c r="B8" i="19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B20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H18" i="12"/>
  <c r="I18" i="12"/>
  <c r="G18" i="12"/>
  <c r="F18" i="12"/>
  <c r="E18" i="12"/>
  <c r="D18" i="12"/>
  <c r="B18" i="1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H29" i="21"/>
  <c r="G29" i="21"/>
  <c r="E29" i="21"/>
  <c r="D29" i="21"/>
  <c r="C29" i="21"/>
  <c r="B29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H27" i="21"/>
  <c r="G27" i="21"/>
  <c r="E27" i="21"/>
  <c r="D27" i="21"/>
  <c r="C27" i="21"/>
  <c r="B27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T27" i="24"/>
  <c r="S27" i="24"/>
  <c r="R27" i="24"/>
  <c r="Q27" i="24"/>
  <c r="P27" i="24"/>
  <c r="O27" i="24"/>
  <c r="N27" i="24"/>
  <c r="M27" i="24"/>
  <c r="K27" i="24"/>
  <c r="J27" i="24"/>
  <c r="I27" i="24"/>
  <c r="H27" i="24"/>
  <c r="G27" i="24"/>
  <c r="F27" i="24"/>
  <c r="E27" i="24"/>
  <c r="D27" i="24"/>
  <c r="C27" i="24"/>
  <c r="B27" i="24"/>
  <c r="T8" i="24"/>
  <c r="S8" i="24"/>
  <c r="R8" i="24"/>
  <c r="Q8" i="24"/>
  <c r="P8" i="24"/>
  <c r="O8" i="24"/>
  <c r="N8" i="24"/>
  <c r="M8" i="24"/>
  <c r="K8" i="24"/>
  <c r="J8" i="24"/>
  <c r="I8" i="24"/>
  <c r="H8" i="24"/>
  <c r="G8" i="24"/>
  <c r="F8" i="24"/>
  <c r="E8" i="24"/>
  <c r="D8" i="24"/>
  <c r="C8" i="24"/>
  <c r="B8" i="24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J30" i="10"/>
  <c r="I30" i="10"/>
  <c r="H30" i="10"/>
  <c r="G30" i="10"/>
  <c r="F30" i="10"/>
  <c r="E30" i="10"/>
  <c r="D30" i="10"/>
  <c r="C30" i="10"/>
  <c r="B30" i="10"/>
  <c r="J28" i="10"/>
  <c r="I28" i="10"/>
  <c r="H28" i="10"/>
  <c r="G28" i="10"/>
  <c r="F28" i="10"/>
  <c r="E28" i="10"/>
  <c r="D28" i="10"/>
  <c r="C28" i="10"/>
  <c r="B28" i="10"/>
  <c r="K9" i="10"/>
  <c r="J9" i="10"/>
  <c r="I9" i="10"/>
  <c r="H9" i="10"/>
  <c r="G9" i="10"/>
  <c r="F9" i="10"/>
  <c r="E9" i="10"/>
  <c r="D9" i="10"/>
  <c r="C9" i="10"/>
  <c r="B9" i="10"/>
</calcChain>
</file>

<file path=xl/sharedStrings.xml><?xml version="1.0" encoding="utf-8"?>
<sst xmlns="http://schemas.openxmlformats.org/spreadsheetml/2006/main" count="1075" uniqueCount="379">
  <si>
    <t>AberDart</t>
  </si>
  <si>
    <t xml:space="preserve">AberMagic </t>
  </si>
  <si>
    <t>G</t>
  </si>
  <si>
    <t>PG</t>
  </si>
  <si>
    <t>PS</t>
  </si>
  <si>
    <t>S</t>
  </si>
  <si>
    <t>-</t>
  </si>
  <si>
    <t>Winter Hardiness (1-9, 9=good)</t>
  </si>
  <si>
    <t>Crown Rust (1-9, 9=good)</t>
  </si>
  <si>
    <t>Drechslera (1-9, 9=good)</t>
  </si>
  <si>
    <t>Mildew (1-9, 9=good)</t>
  </si>
  <si>
    <t>Year First Listed</t>
  </si>
  <si>
    <t>Number of trials for yields</t>
  </si>
  <si>
    <t>Heading date</t>
  </si>
  <si>
    <t>Mean of G varieties</t>
  </si>
  <si>
    <t xml:space="preserve">Grazing seasonal growth </t>
  </si>
  <si>
    <t>Grazing management</t>
  </si>
  <si>
    <t>Conservation management</t>
  </si>
  <si>
    <t>Agronomic characters</t>
  </si>
  <si>
    <t>Disease resistance</t>
  </si>
  <si>
    <t>Violin</t>
  </si>
  <si>
    <t>Alice</t>
  </si>
  <si>
    <t>Barblanca</t>
  </si>
  <si>
    <t>Aran</t>
  </si>
  <si>
    <t xml:space="preserve">Recommended List Status </t>
  </si>
  <si>
    <t>% Clover</t>
  </si>
  <si>
    <t xml:space="preserve">Yields are expressed as a percentage of the mean of all fully recommended white clover varieties in trials. </t>
  </si>
  <si>
    <t>Ground Cover% (3rd harvest year)</t>
  </si>
  <si>
    <t>Diploids</t>
  </si>
  <si>
    <t>Tetraploids</t>
  </si>
  <si>
    <t>Conservation seasonal growth - Year 1</t>
  </si>
  <si>
    <t xml:space="preserve">Recommended List status </t>
  </si>
  <si>
    <t>Ryegrass mosaic virus (1-9, 9=good)</t>
  </si>
  <si>
    <t>1st harvest year</t>
  </si>
  <si>
    <t>2nd harvest year</t>
  </si>
  <si>
    <t>3rd harvest year</t>
  </si>
  <si>
    <t>Year of Sowing</t>
  </si>
  <si>
    <t xml:space="preserve">Yields are expressed as a percentage of the mean of all fully recommended hybrid ryegrass varieties in trials. </t>
  </si>
  <si>
    <t>SEASONAL GROWTH (1st Harvest Year)</t>
  </si>
  <si>
    <t>Meribel</t>
  </si>
  <si>
    <t>Fox</t>
  </si>
  <si>
    <t>Muriello</t>
  </si>
  <si>
    <t>Alamo</t>
  </si>
  <si>
    <t>Steel</t>
  </si>
  <si>
    <t>Abys</t>
  </si>
  <si>
    <t>Davinci</t>
  </si>
  <si>
    <t>Belluna</t>
  </si>
  <si>
    <t>Lemmon</t>
  </si>
  <si>
    <t>Merviot</t>
  </si>
  <si>
    <t>Amos(T)</t>
  </si>
  <si>
    <t>Sparta</t>
  </si>
  <si>
    <t>Lidacta</t>
  </si>
  <si>
    <t>Ground Cover (1-9, 9=good)</t>
  </si>
  <si>
    <t>Resistance to Mildew (1-9, 9=good)</t>
  </si>
  <si>
    <t>Resistance to Mastigosporium (1-9, 9=good)</t>
  </si>
  <si>
    <t>Diane</t>
  </si>
  <si>
    <t>Marshall</t>
  </si>
  <si>
    <t>Daisy</t>
  </si>
  <si>
    <t>AberClaret</t>
  </si>
  <si>
    <t>Comer</t>
  </si>
  <si>
    <t xml:space="preserve">Presto </t>
  </si>
  <si>
    <t>Dolina</t>
  </si>
  <si>
    <t>Comtal</t>
  </si>
  <si>
    <t>Promesse</t>
  </si>
  <si>
    <t>Winnetou</t>
  </si>
  <si>
    <t>Moverdi</t>
  </si>
  <si>
    <t>Motim</t>
  </si>
  <si>
    <t>Resistance to Yellow Rust(1-9, 9=good)</t>
  </si>
  <si>
    <t>Number of trials for clover yields</t>
  </si>
  <si>
    <t>Genesis</t>
  </si>
  <si>
    <t>Moyola</t>
  </si>
  <si>
    <t xml:space="preserve">Grazing management </t>
  </si>
  <si>
    <t>Grazing D-value is measured from a late-summer cut in year 2 and the Grazing ME yields are calculated as total yield multiplied by the D-value x 0.16.</t>
  </si>
  <si>
    <t xml:space="preserve">Conservation D-value is measured from both the 1st and 2nd cuts in year 1.  </t>
  </si>
  <si>
    <t xml:space="preserve">Yields are expressed as a percentage of the mean of all fully recommended timothy varieties in trials. Grazing yields are measured in year 2, Conservation yields in years 1 &amp; 3. </t>
  </si>
  <si>
    <t>Conservation ME yields are calculated as the first year first cut multiplied by its D-value x 0.16, plus the first year second cut yield multiplied by its D-value x 0.16.</t>
  </si>
  <si>
    <t xml:space="preserve">Yields are expressed as a percentage of the mean of all fully recommended italian ryegrass varieties in trials. </t>
  </si>
  <si>
    <t>Boyne</t>
  </si>
  <si>
    <t>Romark</t>
  </si>
  <si>
    <t>Drumbo</t>
  </si>
  <si>
    <t>Cancan</t>
  </si>
  <si>
    <t>AberAvon</t>
  </si>
  <si>
    <t>AberChoice</t>
  </si>
  <si>
    <t xml:space="preserve">Yields are expressed as a percentage of the mean of all fully recommended PRG varieties in trials. Grazing yields are measured in year 2, Conservation yields in years 1 &amp; 3. </t>
  </si>
  <si>
    <t>AberAce</t>
  </si>
  <si>
    <t>AberHerald</t>
  </si>
  <si>
    <t>AberDai</t>
  </si>
  <si>
    <t>D-values are expressed as D-value minus 65.</t>
  </si>
  <si>
    <t>Conservation ME yields are calculated as the first year 2nd cut multiplied by its D-value x 0.16, plus the first year 3rd cut multiplied by its D-value x 0.16.</t>
  </si>
  <si>
    <t>Note that the mean of G varieties include all those from early, intermediate and late maturity groups.</t>
  </si>
  <si>
    <t>Toddington</t>
  </si>
  <si>
    <t>Maro(T)</t>
  </si>
  <si>
    <t xml:space="preserve">Avisto            </t>
  </si>
  <si>
    <t>Aber S.184</t>
  </si>
  <si>
    <t>AberGreen</t>
  </si>
  <si>
    <t xml:space="preserve">AberChianti       </t>
  </si>
  <si>
    <t>Conservation D-value is measured from both the 2nd and 3rd cuts in year 1. D-values are expressed as D-value minus 65.</t>
  </si>
  <si>
    <r>
      <t>LEAF AREA (length×breadth 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) </t>
    </r>
  </si>
  <si>
    <t>Harmonie</t>
  </si>
  <si>
    <t xml:space="preserve">Atlantis(T)          </t>
  </si>
  <si>
    <t>Iona</t>
  </si>
  <si>
    <t>Shakira</t>
  </si>
  <si>
    <t>Glenariff</t>
  </si>
  <si>
    <t>Clanrye</t>
  </si>
  <si>
    <t>G Bounty</t>
  </si>
  <si>
    <t>Brown Rust (1-9, 9=good)</t>
  </si>
  <si>
    <t>Javorio</t>
  </si>
  <si>
    <t>Buddy</t>
  </si>
  <si>
    <t>TOTAL ANNUAL YIELDS</t>
  </si>
  <si>
    <t>Diploid Mean</t>
  </si>
  <si>
    <t>Tetraploid Mean</t>
  </si>
  <si>
    <t>Magellan(T)</t>
  </si>
  <si>
    <t>Nifty</t>
  </si>
  <si>
    <t>Moira</t>
  </si>
  <si>
    <t>AberWolf</t>
  </si>
  <si>
    <t>Diploid Mean              (= Barsilo)</t>
  </si>
  <si>
    <t>CONSERVATION MANAGEMENT</t>
  </si>
  <si>
    <t>Protein Content%: 1st Cut</t>
  </si>
  <si>
    <t>Cavendish</t>
  </si>
  <si>
    <t>Timing</t>
  </si>
  <si>
    <t>Elyria</t>
  </si>
  <si>
    <t>LIGHT DEFOLIATION (Cutting or rotational cattle grazing)</t>
  </si>
  <si>
    <t>Light Defoliation</t>
  </si>
  <si>
    <t>Hard Defoliation</t>
  </si>
  <si>
    <t xml:space="preserve">2nd HARVEST YEAR </t>
  </si>
  <si>
    <t xml:space="preserve">3rd HARVEST YEAR </t>
  </si>
  <si>
    <t xml:space="preserve">AUTUMN GROUND COVER </t>
  </si>
  <si>
    <t>Overall (1-9, 1=poor 9=good)</t>
  </si>
  <si>
    <t xml:space="preserve">SPRING GROUND COVER  </t>
  </si>
  <si>
    <t>Ground Cover% (2nd harvest year)</t>
  </si>
  <si>
    <t>Autumn Ground Cover (1-9, 1=poor 9=good)</t>
  </si>
  <si>
    <t>Ground Cover% (1st harvest year)</t>
  </si>
  <si>
    <t>Glenarm</t>
  </si>
  <si>
    <t>[4.5]</t>
  </si>
  <si>
    <t>Dublin</t>
  </si>
  <si>
    <t>Discovery</t>
  </si>
  <si>
    <t>Metis</t>
  </si>
  <si>
    <t>Kilian</t>
  </si>
  <si>
    <t>Brianna</t>
  </si>
  <si>
    <t>Glasker</t>
  </si>
  <si>
    <t>Gosford</t>
  </si>
  <si>
    <t>1st Cut (% of 4.63 t/ha)</t>
  </si>
  <si>
    <t>AberZeus</t>
  </si>
  <si>
    <t>[ ] = Only 2 trials worth of data.</t>
  </si>
  <si>
    <t>Aston  Conqueror</t>
  </si>
  <si>
    <t>AberLee</t>
  </si>
  <si>
    <t>[6.9]</t>
  </si>
  <si>
    <t>Smile</t>
  </si>
  <si>
    <t>AberSwan</t>
  </si>
  <si>
    <t>Callan</t>
  </si>
  <si>
    <t>Bowie</t>
  </si>
  <si>
    <t>AberBann</t>
  </si>
  <si>
    <t>Oakpark</t>
  </si>
  <si>
    <t xml:space="preserve">Sinope      </t>
  </si>
  <si>
    <t>Hegemon</t>
  </si>
  <si>
    <t>[6.7]</t>
  </si>
  <si>
    <t>Dundrod</t>
  </si>
  <si>
    <t>Fearga</t>
  </si>
  <si>
    <t>Agaska</t>
  </si>
  <si>
    <t>Coolfin</t>
  </si>
  <si>
    <t>Galgorm</t>
  </si>
  <si>
    <t>Kendal</t>
  </si>
  <si>
    <t>Melprimo</t>
  </si>
  <si>
    <t>[8.7]</t>
  </si>
  <si>
    <t>Total yield 2nd harvest year (% of 15.45 t/ha)</t>
  </si>
  <si>
    <t>AstonKing</t>
  </si>
  <si>
    <t>[5.8]</t>
  </si>
  <si>
    <t>[7.5]</t>
  </si>
  <si>
    <t>1st and 2nd cut ME yield, first harvest year                             (% of 132 000 mj/ha)</t>
  </si>
  <si>
    <t>Total yield year 3 (% of 13.16 t/ha)</t>
  </si>
  <si>
    <t>[7.4]</t>
  </si>
  <si>
    <t>[6.3]</t>
  </si>
  <si>
    <t>[6.4]</t>
  </si>
  <si>
    <t>[7.6]</t>
  </si>
  <si>
    <t>[6.8]</t>
  </si>
  <si>
    <t>[7.7]</t>
  </si>
  <si>
    <t>Mean of 
G varieties</t>
  </si>
  <si>
    <t>Diploid 
Mean</t>
  </si>
  <si>
    <t>Tetraploid 
Mean</t>
  </si>
  <si>
    <t>Mean of  G 
varieties</t>
  </si>
  <si>
    <t>Early Tetraploid 
Mean (G and S)</t>
  </si>
  <si>
    <t>INT. Tetraploid
Mean (G's only)</t>
  </si>
  <si>
    <t>Mean of all 
varieties</t>
  </si>
  <si>
    <t>Mean of  G  
varieties</t>
  </si>
  <si>
    <t>Mean of G 
varieties</t>
  </si>
  <si>
    <t>Late Diploid            
Mean (G's only)</t>
  </si>
  <si>
    <t>Mean of  G  varieties</t>
  </si>
  <si>
    <t>Late Tetraploid         Mean (G's only)</t>
  </si>
  <si>
    <t># Clover Yields Transformed</t>
  </si>
  <si>
    <t>WHITE CLOVER VARIETIES  Recommended list 2020/2021</t>
  </si>
  <si>
    <t>DESCRIPTIVE LIST OF COCKSFOOT  VARIETIES  2020/2021</t>
  </si>
  <si>
    <t>DESCRIPTIVE LIST OF  LUCERNE VARIETIES 2020/2021</t>
  </si>
  <si>
    <t>LATE PERENNIAL RYEGRASS TETRAPLOID VARIETIES  Recommended list 2020/2021</t>
  </si>
  <si>
    <t>LATE PERENNIAL RYEGRASS DIPLOID VARIETIES  Recommended list 2020/2021</t>
  </si>
  <si>
    <t>INTERMEDIATE PERENNIAL RYEGRASS TETRAPLOID VARIETIES  Recommended list 2020/2021</t>
  </si>
  <si>
    <t>INTERMEDIATE PERENNIAL RYEGRASS DIPLOID VARIETIES  Recommended list 2020/2021</t>
  </si>
  <si>
    <t>EARLY PERENNIAL RYEGRASS  VARIETIES  Recommended list 2020/2021</t>
  </si>
  <si>
    <t>TIMOTHY VARIETIES  Recommended list 2020/2021</t>
  </si>
  <si>
    <t>HYBRID RYEGRASS VARIETIES Recommended list 2020/2021</t>
  </si>
  <si>
    <t>ITALIAN RYEGRASS TETRAPLOID VARIETIES Recommended list 2020/2021</t>
  </si>
  <si>
    <t>ITALIAN RYEGRASS DIPLOID VARIETIES Recommended list 2020/2021</t>
  </si>
  <si>
    <t>RED CLOVER VARIETIES  Recommended list 2020/2021</t>
  </si>
  <si>
    <t>Syntilla</t>
  </si>
  <si>
    <t>Itarzi</t>
  </si>
  <si>
    <t>Udine</t>
  </si>
  <si>
    <t>Hunter</t>
  </si>
  <si>
    <t>ILVO166093</t>
  </si>
  <si>
    <t>Barmultra II</t>
  </si>
  <si>
    <t>Kigezi 1</t>
  </si>
  <si>
    <t>Gemini</t>
  </si>
  <si>
    <t>Arman</t>
  </si>
  <si>
    <t>Cazzano</t>
  </si>
  <si>
    <t>Messina</t>
  </si>
  <si>
    <t>Barimax</t>
  </si>
  <si>
    <t>AberEcho</t>
  </si>
  <si>
    <t>Aston                  
Crusader</t>
  </si>
  <si>
    <t>Perkins</t>
  </si>
  <si>
    <t xml:space="preserve">Bannfoot      </t>
  </si>
  <si>
    <t>Enduro</t>
  </si>
  <si>
    <t xml:space="preserve">Tetragraze            </t>
  </si>
  <si>
    <t>Novial</t>
  </si>
  <si>
    <t>Kirial</t>
  </si>
  <si>
    <t>Bahial</t>
  </si>
  <si>
    <t>Amalgam</t>
  </si>
  <si>
    <t>AberImage</t>
  </si>
  <si>
    <t>Pirol</t>
  </si>
  <si>
    <t>Barsilo</t>
  </si>
  <si>
    <t>Barclamp</t>
  </si>
  <si>
    <t>AberNiche         
(Fest)</t>
  </si>
  <si>
    <t>Perseus 
(Fest)</t>
  </si>
  <si>
    <t>AberTorch</t>
  </si>
  <si>
    <t>Carraig</t>
  </si>
  <si>
    <t>Cooky</t>
  </si>
  <si>
    <t>INT. Diploid 
Mean 
(G's only)</t>
  </si>
  <si>
    <t>Early Diploid 
Mean (G's only)</t>
  </si>
  <si>
    <t>Fintona</t>
  </si>
  <si>
    <t xml:space="preserve">Glenstal </t>
  </si>
  <si>
    <t>Seagoe</t>
  </si>
  <si>
    <t>Nolwen</t>
  </si>
  <si>
    <t>AberClyde</t>
  </si>
  <si>
    <t>AstonVision</t>
  </si>
  <si>
    <t>AberSpey</t>
  </si>
  <si>
    <t>Dunluce</t>
  </si>
  <si>
    <t>Caledon</t>
  </si>
  <si>
    <t xml:space="preserve">Diwan </t>
  </si>
  <si>
    <t xml:space="preserve">Montova </t>
  </si>
  <si>
    <t>Triwarwic</t>
  </si>
  <si>
    <t>Pensel</t>
  </si>
  <si>
    <t>Federer</t>
  </si>
  <si>
    <t>AstonEnergy</t>
  </si>
  <si>
    <t>Ballintoy</t>
  </si>
  <si>
    <t>Bijou</t>
  </si>
  <si>
    <t>Weldone</t>
  </si>
  <si>
    <t>Meiduno</t>
  </si>
  <si>
    <t>Calao</t>
  </si>
  <si>
    <t>Hurricane</t>
  </si>
  <si>
    <t>Aspect</t>
  </si>
  <si>
    <t>AberGain</t>
  </si>
  <si>
    <t>Nashota</t>
  </si>
  <si>
    <t xml:space="preserve">AberBite </t>
  </si>
  <si>
    <t>Twymax</t>
  </si>
  <si>
    <t xml:space="preserve">Aston                   Princess  </t>
  </si>
  <si>
    <t>Youpi</t>
  </si>
  <si>
    <t>Thegn</t>
  </si>
  <si>
    <t xml:space="preserve">Xenon                      </t>
  </si>
  <si>
    <t>Solas</t>
  </si>
  <si>
    <t>Hopi</t>
  </si>
  <si>
    <t>S166613D</t>
  </si>
  <si>
    <t>Gleneagle</t>
  </si>
  <si>
    <t>AberTest</t>
  </si>
  <si>
    <t>Ballyvoy</t>
  </si>
  <si>
    <t>Swan</t>
  </si>
  <si>
    <t>Gracehill</t>
  </si>
  <si>
    <t>Sendero</t>
  </si>
  <si>
    <t>Baronaise</t>
  </si>
  <si>
    <t>Total yield 2nd harvest year (% of 15.11 t/ha)</t>
  </si>
  <si>
    <t>1st cut (% of 4.77 t/ha)</t>
  </si>
  <si>
    <t>2nd cut (% of 3.16 t/ha)</t>
  </si>
  <si>
    <t>3rd cut (% of 3.06 t/ha)</t>
  </si>
  <si>
    <t>4th+ cut (% of 4.68 t/ha)</t>
  </si>
  <si>
    <t>Total yield 1st harvest year (% of 15.68 t/ha)</t>
  </si>
  <si>
    <t>Total yield: Mean                    (% of 15.41 t/ha)</t>
  </si>
  <si>
    <t>Total yield 1st harvest year (% of 12.42 t/ha)</t>
  </si>
  <si>
    <t>Total yield 3rd harvest year (% of 9.31 t/ha)</t>
  </si>
  <si>
    <t>1st Cut (% of 5.01 t/ha)</t>
  </si>
  <si>
    <t xml:space="preserve">Total yield 1st harvest year  (% of 12.37 t/ha) </t>
  </si>
  <si>
    <t>Clover yield: First cut (% of 0.68 t/ha) #</t>
  </si>
  <si>
    <t>Clover yield: Last cut (% of 0.47 t/ha) #</t>
  </si>
  <si>
    <t>Total Clover yield (% of 4.92 t/ha) #</t>
  </si>
  <si>
    <t>Total yield: Grass + Clover (% of 11.44 t/ha) #</t>
  </si>
  <si>
    <t>Yield of clover (% of 4.02 t/ha) #</t>
  </si>
  <si>
    <t>Yield of Grass + Clover (% of 10.71 t/ha) #</t>
  </si>
  <si>
    <t>Clover yield: First cut (% of 0.55 t/ha) #</t>
  </si>
  <si>
    <t>Clover yield: Last cut (% of 0.40 t/ha) #</t>
  </si>
  <si>
    <t>[109]</t>
  </si>
  <si>
    <t>Early grazing yield (% of 1.16 t/ha)</t>
  </si>
  <si>
    <t>Spring (% of 2.15 t/ha)</t>
  </si>
  <si>
    <t>Early Summer (% of 3.99 t/ha)</t>
  </si>
  <si>
    <t>Late Summer (% of 2.84 t/ha)</t>
  </si>
  <si>
    <t>Autumn (% of 1.23 t/ha)</t>
  </si>
  <si>
    <t>Grazing yield (% of 10.21 t/ha)</t>
  </si>
  <si>
    <t>ME Yield (% of 119 000 mj/ha)</t>
  </si>
  <si>
    <t>1st cut (% of 6.10 t/ha)</t>
  </si>
  <si>
    <t>2nd cut (% of 3.73 t/ha)</t>
  </si>
  <si>
    <t>3rd cut (% of 2.76 t/ha)</t>
  </si>
  <si>
    <t>4th+ cut (% of 2.47 t/ha)</t>
  </si>
  <si>
    <t>Total yield year 1 (% of 15.06 t/ha)</t>
  </si>
  <si>
    <t>ME yield of 1st+2nd cut year 1 (% of 101 000 mj/ha)</t>
  </si>
  <si>
    <t>Total yield: Mean (% of 13.83 t/ha)</t>
  </si>
  <si>
    <t>Total yield: Mean              (% of 13.85 t/ha)</t>
  </si>
  <si>
    <t>Total yield year 3 (% of 12.49 t/ha)</t>
  </si>
  <si>
    <t>[ ] = Only 2 trials worth of data (explains the very high largest LSD).</t>
  </si>
  <si>
    <t>Total yield: Mean (% of 16.96 t/ha)</t>
  </si>
  <si>
    <t>Hybrid diploids have more secondary heading than hybrid tetraploids.</t>
  </si>
  <si>
    <t>Year of Sowing (% of 2.09 t/ha)</t>
  </si>
  <si>
    <t>Early spring growth  (% of 1.70 t/ha)</t>
  </si>
  <si>
    <t>1st conservation cut (% of 6.61 t/ha)</t>
  </si>
  <si>
    <t>2nd conservation cut (% of 4.32 t/ha)</t>
  </si>
  <si>
    <t>Monthly cuts ( % of 6.18 t/ha)</t>
  </si>
  <si>
    <t>1st harvest year (% of 18.76 t/ha)</t>
  </si>
  <si>
    <t>1st and 2nd cut ME yield, first harvest year                       (% of 123 000 mj/ha)</t>
  </si>
  <si>
    <t>2nd harvest year (% of 15.04 t/ha)</t>
  </si>
  <si>
    <t>Total yield 2nd harvest year (% of 12.77 t/ha)</t>
  </si>
  <si>
    <t>Total yield: Mean                 (% of 11.69 t/ha)</t>
  </si>
  <si>
    <t>[7.8]</t>
  </si>
  <si>
    <t>[7.9]</t>
  </si>
  <si>
    <t>Total yield: Mean (% of 15.52 t/ha)</t>
  </si>
  <si>
    <t>Year of Sowing (% of 1.83 t/ha)</t>
  </si>
  <si>
    <t>Early spring growth  (% of 1.63 t/ha)</t>
  </si>
  <si>
    <t>1st conservation cut (% of 6.72 t/ha)</t>
  </si>
  <si>
    <t>2nd conservation cut (% of 4.12 t/ha)</t>
  </si>
  <si>
    <t>Monthly cuts ( % of 6.17 t/ha)</t>
  </si>
  <si>
    <t>1st harvest year (% of 18.63 t/ha)</t>
  </si>
  <si>
    <t>1st and 2nd cut ME yield, first harvest year                       (% of 124 000 mj/ha)</t>
  </si>
  <si>
    <t>2nd harvest year (% of 14.12 t/ha)</t>
  </si>
  <si>
    <t>3rd harvest year (% of 13.38 t/ha)</t>
  </si>
  <si>
    <t>[8.6]</t>
  </si>
  <si>
    <t>[8.9]</t>
  </si>
  <si>
    <t>1st cut (% of 7.34 t/ha)</t>
  </si>
  <si>
    <t>2nd cut (% of 3.93 t/ha)</t>
  </si>
  <si>
    <t>3rd cut (% of 2.89 t/ha)</t>
  </si>
  <si>
    <t>[5.7]</t>
  </si>
  <si>
    <t>[5.3]</t>
  </si>
  <si>
    <t>[5.9]</t>
  </si>
  <si>
    <t>[8.4]</t>
  </si>
  <si>
    <t>[8.8]</t>
  </si>
  <si>
    <t>[8.0]</t>
  </si>
  <si>
    <t>[4.8]</t>
  </si>
  <si>
    <t>[3.7]</t>
  </si>
  <si>
    <t>[6.0]</t>
  </si>
  <si>
    <t>[4.4]</t>
  </si>
  <si>
    <t>[4.2]</t>
  </si>
  <si>
    <t>Total yield: Mean (% of 15.35 t/ha)</t>
  </si>
  <si>
    <t>Total yield year 1 (% of 17.32 t/ha)</t>
  </si>
  <si>
    <t>4th+ cut (% of 3.03 t/ha)</t>
  </si>
  <si>
    <t>ME Yield (% of 122 000 mj/ha)</t>
  </si>
  <si>
    <t>Grazing yield (% of 9.87 t/ha)</t>
  </si>
  <si>
    <t>[7.2]</t>
  </si>
  <si>
    <t>[7.1]</t>
  </si>
  <si>
    <t>Early grazing yield (% of 1.07 t/ha)</t>
  </si>
  <si>
    <t>Spring (% of 2.26 t/ha)</t>
  </si>
  <si>
    <t>Early Summer (% of 3.78 t/ha)</t>
  </si>
  <si>
    <t>Late Summer (% of 2.46 t/ha)</t>
  </si>
  <si>
    <t>Autumn (% of 1.50 t/ha)</t>
  </si>
  <si>
    <t xml:space="preserve">1st conservation cut D-Value  </t>
  </si>
  <si>
    <t>2nd conservation cut D-Value</t>
  </si>
  <si>
    <t xml:space="preserve">1st conservation cut D-Value </t>
  </si>
  <si>
    <t xml:space="preserve">2nd conservation cut D-Value </t>
  </si>
  <si>
    <t>2nd cut D-value</t>
  </si>
  <si>
    <t xml:space="preserve">1st cut D-Value </t>
  </si>
  <si>
    <t xml:space="preserve">Grazing D-value </t>
  </si>
  <si>
    <t xml:space="preserve">2nd cut D-Value </t>
  </si>
  <si>
    <t>2nd cut D-Value</t>
  </si>
  <si>
    <t>Grazing D-value</t>
  </si>
  <si>
    <t>1st cut D-Value</t>
  </si>
  <si>
    <t>highlighted yellow = likely appeal, if successful, status will change, if not, will be removed from list.</t>
  </si>
  <si>
    <t>ILVO166093 awaiting confirmation of name</t>
  </si>
  <si>
    <t>S166613D awaiting confirmation of  name</t>
  </si>
  <si>
    <t>Convey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</si>
</sst>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\-mmm"/>
    <numFmt numFmtId="165" formatCode="0.0"/>
    <numFmt numFmtId="166" formatCode="0.000"/>
    <numFmt numFmtId="167" formatCode="0.00000"/>
    <numFmt numFmtId="168" formatCode="0.000000000000000000000000"/>
    <numFmt numFmtId="169" formatCode="0.0000"/>
    <numFmt numFmtId="170" formatCode="d\ mmm"/>
  </numFmts>
  <fonts count="4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95">
    <xf numFmtId="0" fontId="0" fillId="0" borderId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9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6" fillId="6" borderId="140" applyNumberFormat="0" applyAlignment="0" applyProtection="0"/>
    <xf numFmtId="0" fontId="37" fillId="22" borderId="141" applyNumberFormat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23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23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23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18" fillId="0" borderId="1" applyNumberFormat="0" applyFill="0" applyAlignment="0" applyProtection="0"/>
    <xf numFmtId="0" fontId="24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4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4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25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5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5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40" fillId="6" borderId="140" applyNumberFormat="0" applyAlignment="0" applyProtection="0"/>
    <xf numFmtId="0" fontId="26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6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6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15" fillId="24" borderId="142" applyNumberFormat="0" applyFon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42" fillId="6" borderId="143" applyNumberFormat="0" applyAlignment="0" applyProtection="0"/>
    <xf numFmtId="0" fontId="7" fillId="0" borderId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0" applyNumberFormat="0" applyFill="0" applyBorder="0" applyAlignment="0" applyProtection="0"/>
  </cellStyleXfs>
  <cellXfs count="1191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textRotation="90"/>
      <protection hidden="1"/>
    </xf>
    <xf numFmtId="0" fontId="4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9" xfId="0" applyNumberFormat="1" applyFont="1" applyFill="1" applyBorder="1" applyAlignment="1" applyProtection="1">
      <alignment horizontal="center" textRotation="90"/>
      <protection hidden="1"/>
    </xf>
    <xf numFmtId="0" fontId="0" fillId="0" borderId="0" xfId="0" applyFill="1" applyBorder="1"/>
    <xf numFmtId="1" fontId="3" fillId="0" borderId="6" xfId="0" applyNumberFormat="1" applyFont="1" applyFill="1" applyBorder="1" applyAlignment="1" applyProtection="1">
      <alignment horizontal="center"/>
      <protection hidden="1"/>
    </xf>
    <xf numFmtId="0" fontId="3" fillId="0" borderId="15" xfId="0" applyNumberFormat="1" applyFont="1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Fill="1" applyBorder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17" xfId="0" applyNumberFormat="1" applyFont="1" applyFill="1" applyBorder="1" applyAlignment="1" applyProtection="1">
      <alignment horizontal="center"/>
      <protection hidden="1"/>
    </xf>
    <xf numFmtId="1" fontId="3" fillId="0" borderId="14" xfId="0" applyNumberFormat="1" applyFont="1" applyFill="1" applyBorder="1" applyAlignment="1" applyProtection="1">
      <alignment horizontal="center"/>
      <protection hidden="1"/>
    </xf>
    <xf numFmtId="165" fontId="3" fillId="0" borderId="18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/>
    <xf numFmtId="0" fontId="3" fillId="0" borderId="0" xfId="0" applyFont="1" applyFill="1" applyBorder="1"/>
    <xf numFmtId="0" fontId="3" fillId="0" borderId="9" xfId="0" applyNumberFormat="1" applyFont="1" applyFill="1" applyBorder="1" applyAlignment="1" applyProtection="1">
      <alignment horizontal="center" textRotation="90"/>
    </xf>
    <xf numFmtId="0" fontId="3" fillId="0" borderId="10" xfId="0" applyNumberFormat="1" applyFont="1" applyFill="1" applyBorder="1" applyAlignment="1" applyProtection="1">
      <alignment horizontal="center" textRotation="90"/>
    </xf>
    <xf numFmtId="0" fontId="3" fillId="0" borderId="23" xfId="0" applyNumberFormat="1" applyFont="1" applyFill="1" applyBorder="1" applyAlignment="1" applyProtection="1">
      <alignment horizontal="center" textRotation="90"/>
      <protection hidden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164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vertical="center"/>
    </xf>
    <xf numFmtId="164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horizontal="center"/>
    </xf>
    <xf numFmtId="0" fontId="4" fillId="0" borderId="19" xfId="0" applyFont="1" applyFill="1" applyBorder="1"/>
    <xf numFmtId="0" fontId="3" fillId="0" borderId="27" xfId="0" quotePrefix="1" applyNumberFormat="1" applyFont="1" applyFill="1" applyBorder="1" applyAlignment="1" applyProtection="1">
      <alignment horizontal="center"/>
      <protection hidden="1"/>
    </xf>
    <xf numFmtId="1" fontId="3" fillId="0" borderId="27" xfId="0" quotePrefix="1" applyNumberFormat="1" applyFont="1" applyFill="1" applyBorder="1" applyAlignment="1" applyProtection="1">
      <alignment horizontal="center"/>
      <protection hidden="1"/>
    </xf>
    <xf numFmtId="0" fontId="3" fillId="0" borderId="14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4" fillId="0" borderId="3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Border="1" applyAlignment="1" applyProtection="1">
      <alignment horizontal="center"/>
      <protection locked="0" hidden="1"/>
    </xf>
    <xf numFmtId="1" fontId="3" fillId="0" borderId="18" xfId="0" applyNumberFormat="1" applyFont="1" applyFill="1" applyBorder="1" applyAlignment="1" applyProtection="1">
      <alignment horizontal="center"/>
      <protection hidden="1"/>
    </xf>
    <xf numFmtId="0" fontId="3" fillId="0" borderId="31" xfId="0" applyNumberFormat="1" applyFont="1" applyFill="1" applyBorder="1" applyAlignment="1" applyProtection="1">
      <alignment horizontal="center" vertical="center"/>
      <protection hidden="1"/>
    </xf>
    <xf numFmtId="165" fontId="3" fillId="0" borderId="22" xfId="0" applyNumberFormat="1" applyFont="1" applyFill="1" applyBorder="1" applyAlignment="1" applyProtection="1">
      <alignment horizontal="center"/>
      <protection hidden="1"/>
    </xf>
    <xf numFmtId="165" fontId="3" fillId="0" borderId="14" xfId="0" applyNumberFormat="1" applyFont="1" applyFill="1" applyBorder="1" applyAlignment="1" applyProtection="1">
      <alignment horizontal="center"/>
      <protection hidden="1"/>
    </xf>
    <xf numFmtId="165" fontId="3" fillId="0" borderId="33" xfId="0" applyNumberFormat="1" applyFont="1" applyFill="1" applyBorder="1" applyAlignment="1" applyProtection="1">
      <alignment horizontal="center"/>
      <protection hidden="1"/>
    </xf>
    <xf numFmtId="1" fontId="3" fillId="0" borderId="13" xfId="0" applyNumberFormat="1" applyFont="1" applyFill="1" applyBorder="1" applyAlignment="1" applyProtection="1">
      <alignment horizontal="center"/>
      <protection hidden="1"/>
    </xf>
    <xf numFmtId="1" fontId="3" fillId="0" borderId="34" xfId="0" applyNumberFormat="1" applyFont="1" applyFill="1" applyBorder="1" applyAlignment="1" applyProtection="1">
      <alignment horizontal="center"/>
      <protection hidden="1"/>
    </xf>
    <xf numFmtId="0" fontId="3" fillId="0" borderId="34" xfId="0" applyNumberFormat="1" applyFont="1" applyFill="1" applyBorder="1" applyAlignment="1" applyProtection="1">
      <alignment horizontal="center"/>
      <protection hidden="1"/>
    </xf>
    <xf numFmtId="165" fontId="3" fillId="0" borderId="27" xfId="0" applyNumberFormat="1" applyFont="1" applyFill="1" applyBorder="1" applyAlignment="1" applyProtection="1">
      <alignment horizontal="center"/>
      <protection hidden="1"/>
    </xf>
    <xf numFmtId="0" fontId="3" fillId="0" borderId="33" xfId="0" quotePrefix="1" applyNumberFormat="1" applyFont="1" applyFill="1" applyBorder="1" applyAlignment="1" applyProtection="1">
      <alignment horizontal="center"/>
      <protection hidden="1"/>
    </xf>
    <xf numFmtId="165" fontId="3" fillId="0" borderId="6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locked="0"/>
    </xf>
    <xf numFmtId="0" fontId="4" fillId="0" borderId="36" xfId="0" applyFont="1" applyFill="1" applyBorder="1" applyAlignment="1" applyProtection="1">
      <alignment horizontal="right" vertical="center"/>
      <protection locked="0" hidden="1"/>
    </xf>
    <xf numFmtId="0" fontId="3" fillId="0" borderId="6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Fill="1" applyBorder="1"/>
    <xf numFmtId="0" fontId="3" fillId="0" borderId="18" xfId="0" applyNumberFormat="1" applyFont="1" applyFill="1" applyBorder="1" applyAlignment="1" applyProtection="1">
      <alignment horizontal="center"/>
      <protection hidden="1"/>
    </xf>
    <xf numFmtId="164" fontId="3" fillId="0" borderId="35" xfId="0" applyNumberFormat="1" applyFont="1" applyFill="1" applyBorder="1" applyAlignment="1" applyProtection="1">
      <alignment horizontal="center" vertical="center"/>
      <protection hidden="1"/>
    </xf>
    <xf numFmtId="0" fontId="3" fillId="0" borderId="38" xfId="0" applyNumberFormat="1" applyFont="1" applyFill="1" applyBorder="1" applyAlignment="1" applyProtection="1">
      <alignment horizontal="center"/>
    </xf>
    <xf numFmtId="165" fontId="4" fillId="0" borderId="36" xfId="0" applyNumberFormat="1" applyFont="1" applyFill="1" applyBorder="1" applyAlignment="1" applyProtection="1"/>
    <xf numFmtId="0" fontId="3" fillId="0" borderId="11" xfId="0" applyFont="1" applyFill="1" applyBorder="1" applyAlignment="1" applyProtection="1"/>
    <xf numFmtId="1" fontId="4" fillId="0" borderId="36" xfId="0" applyNumberFormat="1" applyFont="1" applyFill="1" applyBorder="1" applyAlignment="1" applyProtection="1">
      <alignment horizontal="right"/>
      <protection hidden="1"/>
    </xf>
    <xf numFmtId="0" fontId="4" fillId="0" borderId="12" xfId="0" applyFont="1" applyFill="1" applyBorder="1" applyAlignment="1">
      <alignment horizontal="center" textRotation="90" wrapText="1"/>
    </xf>
    <xf numFmtId="0" fontId="3" fillId="0" borderId="27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27" xfId="0" quotePrefix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Alignment="1" applyProtection="1">
      <protection hidden="1"/>
    </xf>
    <xf numFmtId="1" fontId="3" fillId="0" borderId="17" xfId="0" applyNumberFormat="1" applyFont="1" applyFill="1" applyBorder="1" applyAlignment="1" applyProtection="1">
      <alignment horizontal="center" vertical="center"/>
      <protection hidden="1"/>
    </xf>
    <xf numFmtId="1" fontId="3" fillId="0" borderId="34" xfId="0" applyNumberFormat="1" applyFont="1" applyFill="1" applyBorder="1" applyAlignment="1" applyProtection="1">
      <alignment horizontal="center" vertical="center"/>
      <protection hidden="1"/>
    </xf>
    <xf numFmtId="1" fontId="3" fillId="0" borderId="27" xfId="0" quotePrefix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protection locked="0" hidden="1"/>
    </xf>
    <xf numFmtId="0" fontId="7" fillId="0" borderId="0" xfId="0" applyNumberFormat="1" applyFont="1" applyFill="1" applyAlignment="1" applyProtection="1">
      <alignment horizontal="center"/>
      <protection locked="0" hidden="1"/>
    </xf>
    <xf numFmtId="0" fontId="7" fillId="0" borderId="0" xfId="0" applyFont="1" applyFill="1"/>
    <xf numFmtId="0" fontId="7" fillId="0" borderId="0" xfId="0" applyFont="1" applyFill="1" applyBorder="1"/>
    <xf numFmtId="0" fontId="2" fillId="0" borderId="0" xfId="0" applyFont="1" applyFill="1" applyProtection="1">
      <protection hidden="1"/>
    </xf>
    <xf numFmtId="0" fontId="8" fillId="0" borderId="0" xfId="0" applyFont="1" applyFill="1" applyAlignment="1" applyProtection="1">
      <alignment vertical="top"/>
      <protection locked="0" hidden="1"/>
    </xf>
    <xf numFmtId="0" fontId="8" fillId="0" borderId="0" xfId="0" applyNumberFormat="1" applyFont="1" applyFill="1" applyAlignment="1" applyProtection="1">
      <alignment horizontal="center"/>
      <protection locked="0" hidden="1"/>
    </xf>
    <xf numFmtId="0" fontId="3" fillId="0" borderId="12" xfId="0" applyNumberFormat="1" applyFont="1" applyFill="1" applyBorder="1" applyAlignment="1" applyProtection="1">
      <alignment horizontal="center"/>
      <protection locked="0" hidden="1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  <protection locked="0" hidden="1"/>
    </xf>
    <xf numFmtId="0" fontId="11" fillId="0" borderId="34" xfId="0" applyNumberFormat="1" applyFont="1" applyFill="1" applyBorder="1" applyAlignment="1" applyProtection="1">
      <alignment horizontal="center"/>
      <protection locked="0" hidden="1"/>
    </xf>
    <xf numFmtId="0" fontId="11" fillId="0" borderId="0" xfId="0" applyFont="1" applyFill="1" applyBorder="1"/>
    <xf numFmtId="0" fontId="1" fillId="0" borderId="29" xfId="0" applyFont="1" applyFill="1" applyBorder="1"/>
    <xf numFmtId="0" fontId="3" fillId="0" borderId="46" xfId="0" applyFont="1" applyFill="1" applyBorder="1" applyProtection="1"/>
    <xf numFmtId="165" fontId="4" fillId="0" borderId="36" xfId="0" applyNumberFormat="1" applyFont="1" applyFill="1" applyBorder="1" applyProtection="1"/>
    <xf numFmtId="0" fontId="3" fillId="0" borderId="49" xfId="0" applyFont="1" applyFill="1" applyBorder="1" applyProtection="1"/>
    <xf numFmtId="164" fontId="3" fillId="0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0" xfId="0" applyNumberFormat="1" applyFont="1" applyFill="1" applyBorder="1" applyAlignment="1" applyProtection="1">
      <alignment horizontal="center" textRotation="90"/>
      <protection hidden="1"/>
    </xf>
    <xf numFmtId="0" fontId="3" fillId="0" borderId="39" xfId="0" quotePrefix="1" applyNumberFormat="1" applyFont="1" applyFill="1" applyBorder="1" applyAlignment="1" applyProtection="1">
      <alignment horizontal="center" vertical="center" wrapText="1"/>
    </xf>
    <xf numFmtId="1" fontId="3" fillId="0" borderId="27" xfId="0" applyNumberFormat="1" applyFont="1" applyFill="1" applyBorder="1" applyAlignment="1" applyProtection="1">
      <alignment horizontal="center"/>
      <protection locked="0" hidden="1"/>
    </xf>
    <xf numFmtId="0" fontId="4" fillId="0" borderId="27" xfId="0" applyFont="1" applyFill="1" applyBorder="1" applyAlignment="1">
      <alignment horizontal="center" textRotation="90" wrapText="1"/>
    </xf>
    <xf numFmtId="0" fontId="11" fillId="0" borderId="27" xfId="0" applyNumberFormat="1" applyFont="1" applyFill="1" applyBorder="1" applyAlignment="1" applyProtection="1">
      <alignment horizontal="center"/>
      <protection locked="0" hidden="1"/>
    </xf>
    <xf numFmtId="1" fontId="3" fillId="0" borderId="21" xfId="0" applyNumberFormat="1" applyFont="1" applyFill="1" applyBorder="1" applyAlignment="1" applyProtection="1">
      <alignment horizontal="center"/>
      <protection hidden="1"/>
    </xf>
    <xf numFmtId="1" fontId="3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50" xfId="0" applyNumberFormat="1" applyFont="1" applyFill="1" applyBorder="1" applyAlignment="1" applyProtection="1">
      <alignment horizontal="center" textRotation="90" shrinkToFit="1"/>
      <protection hidden="1"/>
    </xf>
    <xf numFmtId="0" fontId="4" fillId="0" borderId="48" xfId="0" quotePrefix="1" applyFont="1" applyFill="1" applyBorder="1" applyAlignment="1" applyProtection="1">
      <alignment horizontal="center" vertical="center"/>
      <protection locked="0" hidden="1"/>
    </xf>
    <xf numFmtId="1" fontId="3" fillId="0" borderId="22" xfId="0" applyNumberFormat="1" applyFont="1" applyFill="1" applyBorder="1" applyAlignment="1" applyProtection="1">
      <alignment horizontal="center"/>
      <protection hidden="1"/>
    </xf>
    <xf numFmtId="1" fontId="3" fillId="0" borderId="37" xfId="0" applyNumberFormat="1" applyFont="1" applyFill="1" applyBorder="1" applyProtection="1"/>
    <xf numFmtId="0" fontId="4" fillId="0" borderId="52" xfId="0" applyFont="1" applyFill="1" applyBorder="1" applyAlignment="1">
      <alignment horizontal="center" textRotation="90" wrapText="1"/>
    </xf>
    <xf numFmtId="164" fontId="3" fillId="0" borderId="36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36" xfId="0" applyNumberFormat="1" applyFont="1" applyFill="1" applyBorder="1" applyAlignment="1" applyProtection="1">
      <alignment horizontal="center"/>
      <protection locked="0" hidden="1"/>
    </xf>
    <xf numFmtId="0" fontId="3" fillId="0" borderId="26" xfId="0" applyNumberFormat="1" applyFont="1" applyFill="1" applyBorder="1" applyAlignment="1" applyProtection="1">
      <alignment horizontal="center" vertical="center"/>
    </xf>
    <xf numFmtId="0" fontId="3" fillId="0" borderId="5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64" fontId="3" fillId="0" borderId="56" xfId="0" applyNumberFormat="1" applyFont="1" applyFill="1" applyBorder="1" applyAlignment="1" applyProtection="1">
      <alignment horizontal="center" vertical="center"/>
      <protection hidden="1"/>
    </xf>
    <xf numFmtId="0" fontId="3" fillId="0" borderId="34" xfId="0" quotePrefix="1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0" fillId="0" borderId="7" xfId="0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 hidden="1"/>
    </xf>
    <xf numFmtId="0" fontId="3" fillId="0" borderId="49" xfId="0" applyFont="1" applyFill="1" applyBorder="1" applyAlignment="1" applyProtection="1">
      <alignment horizontal="center"/>
    </xf>
    <xf numFmtId="0" fontId="7" fillId="0" borderId="0" xfId="0" applyFont="1" applyFill="1" applyProtection="1">
      <protection hidden="1"/>
    </xf>
    <xf numFmtId="164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>
      <alignment horizontal="center" textRotation="90" wrapText="1"/>
    </xf>
    <xf numFmtId="1" fontId="3" fillId="0" borderId="59" xfId="0" applyNumberFormat="1" applyFont="1" applyFill="1" applyBorder="1" applyAlignment="1" applyProtection="1">
      <alignment horizontal="center" vertical="center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35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4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34" xfId="0" applyNumberFormat="1" applyFont="1" applyFill="1" applyBorder="1" applyAlignment="1" applyProtection="1">
      <alignment horizontal="center" vertical="center"/>
      <protection hidden="1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60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/>
      <protection hidden="1"/>
    </xf>
    <xf numFmtId="1" fontId="3" fillId="0" borderId="60" xfId="0" applyNumberFormat="1" applyFont="1" applyFill="1" applyBorder="1" applyAlignment="1" applyProtection="1">
      <alignment horizontal="center" vertical="center"/>
      <protection hidden="1"/>
    </xf>
    <xf numFmtId="1" fontId="3" fillId="0" borderId="61" xfId="0" applyNumberFormat="1" applyFont="1" applyFill="1" applyBorder="1" applyAlignment="1" applyProtection="1">
      <alignment horizontal="center" vertical="center"/>
      <protection hidden="1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59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 applyProtection="1">
      <alignment horizontal="center" vertical="center"/>
      <protection hidden="1"/>
    </xf>
    <xf numFmtId="1" fontId="3" fillId="0" borderId="59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13" xfId="0" applyNumberFormat="1" applyFont="1" applyFill="1" applyBorder="1" applyAlignment="1" applyProtection="1">
      <alignment horizontal="center" vertical="center"/>
      <protection hidden="1"/>
    </xf>
    <xf numFmtId="1" fontId="1" fillId="0" borderId="60" xfId="0" applyNumberFormat="1" applyFont="1" applyFill="1" applyBorder="1" applyAlignment="1" applyProtection="1">
      <alignment horizontal="center" vertical="center"/>
      <protection hidden="1"/>
    </xf>
    <xf numFmtId="1" fontId="1" fillId="0" borderId="59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  <protection hidden="1"/>
    </xf>
    <xf numFmtId="1" fontId="1" fillId="0" borderId="59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60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Protection="1">
      <protection hidden="1"/>
    </xf>
    <xf numFmtId="0" fontId="3" fillId="0" borderId="36" xfId="0" applyFont="1" applyFill="1" applyBorder="1" applyProtection="1">
      <protection hidden="1"/>
    </xf>
    <xf numFmtId="0" fontId="3" fillId="0" borderId="45" xfId="0" applyFont="1" applyFill="1" applyBorder="1" applyProtection="1">
      <protection hidden="1"/>
    </xf>
    <xf numFmtId="0" fontId="3" fillId="0" borderId="27" xfId="0" applyNumberFormat="1" applyFont="1" applyFill="1" applyBorder="1" applyAlignment="1" applyProtection="1">
      <alignment horizontal="center"/>
      <protection hidden="1"/>
    </xf>
    <xf numFmtId="165" fontId="3" fillId="0" borderId="37" xfId="0" applyNumberFormat="1" applyFont="1" applyFill="1" applyBorder="1" applyProtection="1">
      <protection hidden="1"/>
    </xf>
    <xf numFmtId="1" fontId="3" fillId="0" borderId="33" xfId="0" applyNumberFormat="1" applyFont="1" applyFill="1" applyBorder="1" applyAlignment="1" applyProtection="1">
      <alignment horizontal="center"/>
      <protection hidden="1"/>
    </xf>
    <xf numFmtId="0" fontId="9" fillId="0" borderId="11" xfId="0" applyFont="1" applyFill="1" applyBorder="1" applyAlignment="1" applyProtection="1">
      <protection hidden="1"/>
    </xf>
    <xf numFmtId="0" fontId="3" fillId="0" borderId="48" xfId="0" applyNumberFormat="1" applyFont="1" applyFill="1" applyBorder="1" applyAlignment="1" applyProtection="1">
      <alignment horizontal="center"/>
      <protection hidden="1"/>
    </xf>
    <xf numFmtId="0" fontId="4" fillId="0" borderId="36" xfId="0" applyFont="1" applyFill="1" applyBorder="1" applyAlignment="1" applyProtection="1">
      <alignment horizontal="right"/>
      <protection hidden="1"/>
    </xf>
    <xf numFmtId="1" fontId="3" fillId="0" borderId="20" xfId="0" applyNumberFormat="1" applyFont="1" applyFill="1" applyBorder="1" applyAlignment="1" applyProtection="1">
      <alignment horizontal="center"/>
      <protection hidden="1"/>
    </xf>
    <xf numFmtId="0" fontId="3" fillId="0" borderId="21" xfId="0" applyNumberFormat="1" applyFont="1" applyFill="1" applyBorder="1" applyAlignment="1" applyProtection="1">
      <alignment horizontal="center"/>
      <protection hidden="1"/>
    </xf>
    <xf numFmtId="1" fontId="0" fillId="0" borderId="0" xfId="0" applyNumberFormat="1" applyFill="1" applyAlignment="1">
      <alignment horizontal="left"/>
    </xf>
    <xf numFmtId="0" fontId="3" fillId="0" borderId="37" xfId="0" applyFont="1" applyFill="1" applyBorder="1" applyProtection="1">
      <protection hidden="1"/>
    </xf>
    <xf numFmtId="165" fontId="3" fillId="0" borderId="46" xfId="0" applyNumberFormat="1" applyFont="1" applyFill="1" applyBorder="1" applyProtection="1">
      <protection hidden="1"/>
    </xf>
    <xf numFmtId="0" fontId="4" fillId="0" borderId="27" xfId="0" applyNumberFormat="1" applyFont="1" applyFill="1" applyBorder="1" applyAlignment="1" applyProtection="1">
      <alignment horizontal="center"/>
      <protection hidden="1"/>
    </xf>
    <xf numFmtId="1" fontId="4" fillId="0" borderId="63" xfId="0" applyNumberFormat="1" applyFont="1" applyFill="1" applyBorder="1" applyProtection="1">
      <protection hidden="1"/>
    </xf>
    <xf numFmtId="0" fontId="3" fillId="0" borderId="0" xfId="0" applyFont="1" applyFill="1" applyAlignment="1">
      <alignment horizontal="left"/>
    </xf>
    <xf numFmtId="0" fontId="3" fillId="0" borderId="30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/>
    </xf>
    <xf numFmtId="164" fontId="3" fillId="0" borderId="48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47" xfId="0" applyFont="1" applyFill="1" applyBorder="1" applyAlignment="1">
      <alignment horizontal="center" textRotation="90" wrapText="1"/>
    </xf>
    <xf numFmtId="0" fontId="11" fillId="0" borderId="29" xfId="0" applyFont="1" applyFill="1" applyBorder="1"/>
    <xf numFmtId="0" fontId="4" fillId="0" borderId="37" xfId="0" applyFont="1" applyFill="1" applyBorder="1" applyProtection="1"/>
    <xf numFmtId="0" fontId="2" fillId="0" borderId="52" xfId="0" applyFont="1" applyFill="1" applyBorder="1" applyProtection="1">
      <protection locked="0"/>
    </xf>
    <xf numFmtId="0" fontId="7" fillId="0" borderId="47" xfId="0" applyFont="1" applyFill="1" applyBorder="1" applyAlignment="1" applyProtection="1">
      <alignment horizontal="center"/>
      <protection locked="0"/>
    </xf>
    <xf numFmtId="0" fontId="7" fillId="0" borderId="52" xfId="0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/>
    <xf numFmtId="0" fontId="4" fillId="0" borderId="39" xfId="0" applyFont="1" applyFill="1" applyBorder="1" applyAlignment="1">
      <alignment horizontal="center" textRotation="90" wrapText="1"/>
    </xf>
    <xf numFmtId="0" fontId="3" fillId="0" borderId="0" xfId="0" applyFont="1" applyFill="1" applyAlignment="1">
      <alignment horizontal="center"/>
    </xf>
    <xf numFmtId="0" fontId="1" fillId="0" borderId="64" xfId="0" applyNumberFormat="1" applyFont="1" applyFill="1" applyBorder="1" applyAlignment="1" applyProtection="1">
      <alignment horizontal="center" vertical="top" textRotation="180"/>
      <protection hidden="1"/>
    </xf>
    <xf numFmtId="0" fontId="1" fillId="0" borderId="65" xfId="0" applyNumberFormat="1" applyFont="1" applyFill="1" applyBorder="1" applyAlignment="1" applyProtection="1">
      <alignment horizontal="center" vertical="top" textRotation="180"/>
      <protection hidden="1"/>
    </xf>
    <xf numFmtId="0" fontId="3" fillId="0" borderId="27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/>
    <xf numFmtId="0" fontId="1" fillId="0" borderId="0" xfId="0" applyFont="1" applyFill="1" applyAlignment="1"/>
    <xf numFmtId="1" fontId="3" fillId="0" borderId="2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30" xfId="0" applyNumberFormat="1" applyFont="1" applyFill="1" applyBorder="1" applyAlignment="1" applyProtection="1">
      <alignment vertical="center"/>
      <protection hidden="1"/>
    </xf>
    <xf numFmtId="0" fontId="4" fillId="0" borderId="34" xfId="0" applyNumberFormat="1" applyFont="1" applyFill="1" applyBorder="1" applyAlignment="1" applyProtection="1">
      <alignment vertical="center"/>
      <protection hidden="1"/>
    </xf>
    <xf numFmtId="0" fontId="4" fillId="0" borderId="27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" fontId="3" fillId="0" borderId="66" xfId="0" applyNumberFormat="1" applyFont="1" applyFill="1" applyBorder="1" applyAlignment="1" applyProtection="1">
      <alignment vertical="center"/>
      <protection hidden="1"/>
    </xf>
    <xf numFmtId="165" fontId="3" fillId="0" borderId="2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28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1" fontId="3" fillId="0" borderId="67" xfId="0" applyNumberFormat="1" applyFont="1" applyFill="1" applyBorder="1" applyAlignment="1" applyProtection="1">
      <alignment vertical="center"/>
      <protection hidden="1"/>
    </xf>
    <xf numFmtId="0" fontId="3" fillId="0" borderId="61" xfId="0" applyFont="1" applyFill="1" applyBorder="1" applyAlignment="1">
      <alignment vertical="center"/>
    </xf>
    <xf numFmtId="1" fontId="3" fillId="0" borderId="68" xfId="0" applyNumberFormat="1" applyFont="1" applyFill="1" applyBorder="1" applyAlignment="1" applyProtection="1">
      <alignment vertical="center"/>
      <protection hidden="1"/>
    </xf>
    <xf numFmtId="0" fontId="3" fillId="0" borderId="69" xfId="0" applyFont="1" applyFill="1" applyBorder="1" applyAlignment="1">
      <alignment vertical="center"/>
    </xf>
    <xf numFmtId="1" fontId="3" fillId="0" borderId="27" xfId="0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1" fontId="1" fillId="0" borderId="67" xfId="0" applyNumberFormat="1" applyFont="1" applyFill="1" applyBorder="1" applyAlignment="1" applyProtection="1">
      <alignment vertical="center"/>
      <protection hidden="1"/>
    </xf>
    <xf numFmtId="0" fontId="0" fillId="0" borderId="61" xfId="0" applyFill="1" applyBorder="1" applyAlignment="1">
      <alignment vertical="center"/>
    </xf>
    <xf numFmtId="1" fontId="1" fillId="0" borderId="66" xfId="0" applyNumberFormat="1" applyFont="1" applyFill="1" applyBorder="1" applyAlignment="1" applyProtection="1">
      <alignment vertical="center"/>
      <protection hidden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30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7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9" xfId="0" quotePrefix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1" fillId="0" borderId="0" xfId="0" applyNumberFormat="1" applyFont="1" applyFill="1" applyBorder="1" applyProtection="1">
      <protection hidden="1"/>
    </xf>
    <xf numFmtId="165" fontId="3" fillId="0" borderId="0" xfId="0" applyNumberFormat="1" applyFont="1" applyFill="1" applyBorder="1" applyAlignment="1">
      <alignment horizontal="center"/>
    </xf>
    <xf numFmtId="0" fontId="8" fillId="0" borderId="52" xfId="0" applyFont="1" applyFill="1" applyBorder="1" applyProtection="1">
      <protection hidden="1"/>
    </xf>
    <xf numFmtId="0" fontId="8" fillId="0" borderId="71" xfId="0" applyNumberFormat="1" applyFont="1" applyFill="1" applyBorder="1" applyAlignment="1" applyProtection="1">
      <alignment horizontal="center"/>
      <protection hidden="1"/>
    </xf>
    <xf numFmtId="0" fontId="10" fillId="0" borderId="49" xfId="0" applyFont="1" applyFill="1" applyBorder="1" applyAlignment="1" applyProtection="1">
      <protection hidden="1"/>
    </xf>
    <xf numFmtId="0" fontId="3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hidden="1"/>
    </xf>
    <xf numFmtId="164" fontId="3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quotePrefix="1" applyNumberFormat="1" applyFont="1" applyFill="1" applyBorder="1" applyAlignment="1" applyProtection="1">
      <alignment horizontal="center" vertical="center"/>
    </xf>
    <xf numFmtId="1" fontId="3" fillId="0" borderId="37" xfId="0" applyNumberFormat="1" applyFont="1" applyFill="1" applyBorder="1" applyAlignment="1" applyProtection="1">
      <alignment horizontal="center" vertical="center"/>
      <protection hidden="1"/>
    </xf>
    <xf numFmtId="1" fontId="3" fillId="0" borderId="18" xfId="0" applyNumberFormat="1" applyFont="1" applyFill="1" applyBorder="1" applyAlignment="1" applyProtection="1">
      <alignment horizontal="center" vertical="center"/>
      <protection hidden="1"/>
    </xf>
    <xf numFmtId="1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" xfId="0" applyNumberFormat="1" applyFont="1" applyFill="1" applyBorder="1" applyAlignment="1" applyProtection="1">
      <alignment horizontal="center" vertical="center"/>
      <protection hidden="1"/>
    </xf>
    <xf numFmtId="1" fontId="3" fillId="0" borderId="74" xfId="0" applyNumberFormat="1" applyFont="1" applyFill="1" applyBorder="1" applyAlignment="1" applyProtection="1">
      <alignment horizontal="center" vertical="center"/>
      <protection hidden="1"/>
    </xf>
    <xf numFmtId="0" fontId="3" fillId="0" borderId="34" xfId="0" applyNumberFormat="1" applyFont="1" applyFill="1" applyBorder="1" applyAlignment="1" applyProtection="1">
      <alignment horizontal="center"/>
    </xf>
    <xf numFmtId="1" fontId="3" fillId="0" borderId="75" xfId="0" applyNumberFormat="1" applyFont="1" applyFill="1" applyBorder="1" applyAlignment="1" applyProtection="1">
      <alignment vertical="center"/>
      <protection hidden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74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29" xfId="0" applyFont="1" applyFill="1" applyBorder="1" applyAlignment="1">
      <alignment vertical="center"/>
    </xf>
    <xf numFmtId="0" fontId="3" fillId="0" borderId="12" xfId="0" applyFont="1" applyFill="1" applyBorder="1" applyAlignment="1" applyProtection="1"/>
    <xf numFmtId="0" fontId="4" fillId="0" borderId="36" xfId="0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 applyProtection="1">
      <alignment horizontal="left" vertical="center"/>
      <protection hidden="1"/>
    </xf>
    <xf numFmtId="0" fontId="3" fillId="0" borderId="36" xfId="0" applyFont="1" applyFill="1" applyBorder="1" applyAlignment="1" applyProtection="1">
      <alignment vertical="center"/>
    </xf>
    <xf numFmtId="0" fontId="3" fillId="0" borderId="36" xfId="0" quotePrefix="1" applyFont="1" applyFill="1" applyBorder="1" applyAlignment="1" applyProtection="1">
      <alignment horizontal="center" vertical="center"/>
    </xf>
    <xf numFmtId="0" fontId="3" fillId="0" borderId="27" xfId="0" quotePrefix="1" applyFont="1" applyFill="1" applyBorder="1" applyAlignment="1" applyProtection="1">
      <alignment horizontal="center" vertical="center"/>
    </xf>
    <xf numFmtId="0" fontId="3" fillId="0" borderId="17" xfId="0" quotePrefix="1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vertical="center"/>
    </xf>
    <xf numFmtId="1" fontId="1" fillId="0" borderId="75" xfId="0" applyNumberFormat="1" applyFont="1" applyFill="1" applyBorder="1" applyAlignment="1" applyProtection="1">
      <alignment vertical="center"/>
      <protection hidden="1"/>
    </xf>
    <xf numFmtId="1" fontId="1" fillId="0" borderId="30" xfId="0" applyNumberFormat="1" applyFont="1" applyFill="1" applyBorder="1" applyAlignment="1" applyProtection="1">
      <alignment vertical="center"/>
      <protection hidden="1"/>
    </xf>
    <xf numFmtId="1" fontId="1" fillId="0" borderId="34" xfId="0" applyNumberFormat="1" applyFont="1" applyFill="1" applyBorder="1" applyAlignment="1" applyProtection="1">
      <alignment vertical="center"/>
      <protection hidden="1"/>
    </xf>
    <xf numFmtId="1" fontId="3" fillId="0" borderId="27" xfId="0" applyNumberFormat="1" applyFont="1" applyFill="1" applyBorder="1" applyAlignment="1" applyProtection="1">
      <alignment horizontal="center" vertical="center"/>
      <protection hidden="1"/>
    </xf>
    <xf numFmtId="0" fontId="3" fillId="0" borderId="35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29" xfId="0" applyNumberFormat="1" applyFont="1" applyFill="1" applyBorder="1" applyAlignment="1" applyProtection="1">
      <alignment horizontal="left" vertical="center"/>
      <protection hidden="1"/>
    </xf>
    <xf numFmtId="0" fontId="4" fillId="0" borderId="36" xfId="0" applyFont="1" applyFill="1" applyBorder="1" applyAlignment="1" applyProtection="1">
      <alignment vertical="center"/>
    </xf>
    <xf numFmtId="0" fontId="11" fillId="0" borderId="34" xfId="0" quotePrefix="1" applyNumberFormat="1" applyFont="1" applyFill="1" applyBorder="1" applyAlignment="1" applyProtection="1">
      <alignment horizontal="center"/>
      <protection hidden="1"/>
    </xf>
    <xf numFmtId="0" fontId="1" fillId="0" borderId="27" xfId="0" applyNumberFormat="1" applyFont="1" applyFill="1" applyBorder="1" applyAlignment="1" applyProtection="1">
      <alignment horizontal="center"/>
      <protection locked="0" hidden="1"/>
    </xf>
    <xf numFmtId="0" fontId="1" fillId="0" borderId="34" xfId="0" quotePrefix="1" applyNumberFormat="1" applyFont="1" applyFill="1" applyBorder="1" applyAlignment="1" applyProtection="1">
      <alignment horizontal="center"/>
      <protection hidden="1"/>
    </xf>
    <xf numFmtId="0" fontId="1" fillId="0" borderId="41" xfId="0" quotePrefix="1" applyNumberFormat="1" applyFont="1" applyFill="1" applyBorder="1" applyAlignment="1" applyProtection="1">
      <alignment horizontal="center"/>
      <protection hidden="1"/>
    </xf>
    <xf numFmtId="164" fontId="3" fillId="0" borderId="32" xfId="0" applyNumberFormat="1" applyFont="1" applyFill="1" applyBorder="1" applyAlignment="1" applyProtection="1">
      <alignment horizontal="center" vertical="center"/>
      <protection hidden="1"/>
    </xf>
    <xf numFmtId="164" fontId="3" fillId="0" borderId="77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79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11" fillId="0" borderId="27" xfId="0" applyNumberFormat="1" applyFont="1" applyFill="1" applyBorder="1" applyAlignment="1" applyProtection="1">
      <alignment horizontal="center" vertical="center"/>
      <protection locked="0" hidden="1"/>
    </xf>
    <xf numFmtId="165" fontId="11" fillId="0" borderId="34" xfId="0" applyNumberFormat="1" applyFont="1" applyFill="1" applyBorder="1" applyAlignment="1" applyProtection="1">
      <alignment horizontal="center" vertical="center"/>
      <protection hidden="1"/>
    </xf>
    <xf numFmtId="165" fontId="11" fillId="0" borderId="4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1" fontId="3" fillId="0" borderId="27" xfId="0" applyNumberFormat="1" applyFont="1" applyFill="1" applyBorder="1" applyAlignment="1" applyProtection="1">
      <alignment horizontal="center" vertical="center"/>
      <protection locked="0" hidden="1"/>
    </xf>
    <xf numFmtId="1" fontId="4" fillId="0" borderId="27" xfId="0" applyNumberFormat="1" applyFont="1" applyFill="1" applyBorder="1" applyAlignment="1" applyProtection="1">
      <alignment vertical="center"/>
      <protection locked="0" hidden="1"/>
    </xf>
    <xf numFmtId="0" fontId="3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48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2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79" xfId="0" applyFont="1" applyFill="1" applyBorder="1" applyAlignment="1">
      <alignment vertical="center"/>
    </xf>
    <xf numFmtId="1" fontId="3" fillId="0" borderId="3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37" xfId="0" applyNumberFormat="1" applyFont="1" applyFill="1" applyBorder="1" applyAlignment="1" applyProtection="1">
      <alignment vertical="center" wrapText="1"/>
      <protection hidden="1"/>
    </xf>
    <xf numFmtId="1" fontId="3" fillId="0" borderId="36" xfId="0" applyNumberFormat="1" applyFont="1" applyFill="1" applyBorder="1" applyAlignment="1" applyProtection="1">
      <alignment horizont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</xf>
    <xf numFmtId="165" fontId="3" fillId="0" borderId="34" xfId="0" applyNumberFormat="1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right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quotePrefix="1" applyNumberFormat="1" applyFont="1" applyFill="1" applyBorder="1" applyAlignment="1" applyProtection="1">
      <alignment horizontal="center" vertical="center"/>
      <protection hidden="1"/>
    </xf>
    <xf numFmtId="0" fontId="11" fillId="0" borderId="27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quotePrefix="1" applyNumberFormat="1" applyFont="1" applyFill="1" applyBorder="1" applyAlignment="1" applyProtection="1">
      <alignment horizontal="center" vertical="center"/>
      <protection locked="0" hidden="1"/>
    </xf>
    <xf numFmtId="0" fontId="11" fillId="0" borderId="26" xfId="0" quotePrefix="1" applyNumberFormat="1" applyFont="1" applyFill="1" applyBorder="1" applyAlignment="1" applyProtection="1">
      <alignment horizontal="center" vertical="center"/>
      <protection locked="0" hidden="1"/>
    </xf>
    <xf numFmtId="0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11" fillId="0" borderId="35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56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5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41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left" vertical="center"/>
    </xf>
    <xf numFmtId="0" fontId="3" fillId="0" borderId="27" xfId="0" applyNumberFormat="1" applyFont="1" applyFill="1" applyBorder="1" applyAlignment="1" applyProtection="1">
      <alignment horizontal="left" vertical="center"/>
      <protection hidden="1"/>
    </xf>
    <xf numFmtId="1" fontId="3" fillId="0" borderId="36" xfId="0" applyNumberFormat="1" applyFont="1" applyFill="1" applyBorder="1" applyAlignment="1" applyProtection="1">
      <alignment horizontal="left" vertical="center"/>
      <protection hidden="1"/>
    </xf>
    <xf numFmtId="0" fontId="3" fillId="0" borderId="46" xfId="0" applyFont="1" applyFill="1" applyBorder="1" applyAlignment="1" applyProtection="1">
      <alignment vertical="center"/>
    </xf>
    <xf numFmtId="1" fontId="3" fillId="0" borderId="33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79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34" xfId="0" applyNumberFormat="1" applyFont="1" applyFill="1" applyBorder="1" applyAlignment="1" applyProtection="1">
      <alignment horizontal="center"/>
      <protection hidden="1"/>
    </xf>
    <xf numFmtId="165" fontId="3" fillId="0" borderId="34" xfId="0" applyNumberFormat="1" applyFont="1" applyFill="1" applyBorder="1" applyAlignment="1" applyProtection="1">
      <alignment horizontal="center"/>
      <protection hidden="1"/>
    </xf>
    <xf numFmtId="0" fontId="3" fillId="0" borderId="34" xfId="0" applyNumberFormat="1" applyFont="1" applyFill="1" applyBorder="1" applyAlignment="1" applyProtection="1">
      <alignment horizontal="left" vertical="center"/>
      <protection hidden="1"/>
    </xf>
    <xf numFmtId="0" fontId="4" fillId="0" borderId="36" xfId="0" applyFont="1" applyFill="1" applyBorder="1" applyAlignment="1" applyProtection="1">
      <alignment horizontal="right" vertical="center"/>
    </xf>
    <xf numFmtId="0" fontId="4" fillId="0" borderId="34" xfId="0" applyFont="1" applyFill="1" applyBorder="1" applyAlignment="1" applyProtection="1">
      <alignment horizontal="right" vertical="center"/>
      <protection hidden="1"/>
    </xf>
    <xf numFmtId="0" fontId="3" fillId="0" borderId="20" xfId="1540" applyNumberFormat="1" applyFont="1" applyFill="1" applyBorder="1" applyAlignment="1" applyProtection="1">
      <alignment horizontal="center" vertical="center"/>
      <protection hidden="1"/>
    </xf>
    <xf numFmtId="0" fontId="4" fillId="0" borderId="67" xfId="1540" applyNumberFormat="1" applyFont="1" applyFill="1" applyBorder="1" applyAlignment="1" applyProtection="1">
      <alignment vertical="center"/>
      <protection hidden="1"/>
    </xf>
    <xf numFmtId="0" fontId="3" fillId="0" borderId="61" xfId="1540" applyNumberFormat="1" applyFont="1" applyFill="1" applyBorder="1" applyAlignment="1" applyProtection="1">
      <alignment vertical="center"/>
      <protection hidden="1"/>
    </xf>
    <xf numFmtId="1" fontId="3" fillId="0" borderId="28" xfId="1540" applyNumberFormat="1" applyFont="1" applyFill="1" applyBorder="1" applyAlignment="1" applyProtection="1">
      <alignment vertical="center"/>
      <protection hidden="1"/>
    </xf>
    <xf numFmtId="0" fontId="3" fillId="0" borderId="28" xfId="1540" applyNumberFormat="1" applyFont="1" applyFill="1" applyBorder="1" applyAlignment="1" applyProtection="1">
      <alignment vertical="center"/>
      <protection hidden="1"/>
    </xf>
    <xf numFmtId="0" fontId="3" fillId="0" borderId="69" xfId="1540" applyNumberFormat="1" applyFont="1" applyFill="1" applyBorder="1" applyAlignment="1" applyProtection="1">
      <alignment horizontal="left" vertical="center"/>
      <protection hidden="1"/>
    </xf>
    <xf numFmtId="0" fontId="3" fillId="0" borderId="28" xfId="1540" applyNumberFormat="1" applyFont="1" applyFill="1" applyBorder="1" applyAlignment="1" applyProtection="1">
      <alignment horizontal="left" vertical="center"/>
      <protection hidden="1"/>
    </xf>
    <xf numFmtId="0" fontId="3" fillId="0" borderId="75" xfId="1540" applyNumberFormat="1" applyFont="1" applyFill="1" applyBorder="1" applyAlignment="1" applyProtection="1">
      <alignment horizontal="left" vertical="center"/>
      <protection hidden="1"/>
    </xf>
    <xf numFmtId="0" fontId="3" fillId="0" borderId="29" xfId="1540" applyNumberFormat="1" applyFont="1" applyFill="1" applyBorder="1" applyAlignment="1" applyProtection="1">
      <alignment horizontal="left" vertical="center"/>
      <protection hidden="1"/>
    </xf>
    <xf numFmtId="1" fontId="3" fillId="0" borderId="29" xfId="1540" applyNumberFormat="1" applyFont="1" applyFill="1" applyBorder="1" applyAlignment="1" applyProtection="1">
      <alignment vertical="center"/>
      <protection hidden="1"/>
    </xf>
    <xf numFmtId="1" fontId="3" fillId="0" borderId="59" xfId="1540" applyNumberFormat="1" applyFont="1" applyFill="1" applyBorder="1" applyAlignment="1" applyProtection="1">
      <alignment horizontal="center" vertical="center"/>
      <protection hidden="1"/>
    </xf>
    <xf numFmtId="1" fontId="3" fillId="0" borderId="14" xfId="1540" applyNumberFormat="1" applyFont="1" applyFill="1" applyBorder="1" applyAlignment="1" applyProtection="1">
      <alignment horizontal="center" vertical="center"/>
      <protection hidden="1"/>
    </xf>
    <xf numFmtId="1" fontId="3" fillId="0" borderId="84" xfId="1540" applyNumberFormat="1" applyFont="1" applyFill="1" applyBorder="1" applyAlignment="1" applyProtection="1">
      <alignment horizontal="center" vertical="center"/>
      <protection hidden="1"/>
    </xf>
    <xf numFmtId="1" fontId="3" fillId="0" borderId="85" xfId="1540" applyNumberFormat="1" applyFont="1" applyFill="1" applyBorder="1" applyAlignment="1" applyProtection="1">
      <alignment horizontal="center" vertical="center"/>
      <protection hidden="1"/>
    </xf>
    <xf numFmtId="0" fontId="3" fillId="0" borderId="60" xfId="1540" applyNumberFormat="1" applyFont="1" applyFill="1" applyBorder="1" applyAlignment="1" applyProtection="1">
      <alignment horizontal="center" vertical="center"/>
      <protection hidden="1"/>
    </xf>
    <xf numFmtId="0" fontId="3" fillId="0" borderId="13" xfId="1540" applyNumberFormat="1" applyFont="1" applyFill="1" applyBorder="1" applyAlignment="1" applyProtection="1">
      <alignment horizontal="center" vertical="center"/>
      <protection hidden="1"/>
    </xf>
    <xf numFmtId="1" fontId="3" fillId="0" borderId="22" xfId="1540" applyNumberFormat="1" applyFont="1" applyFill="1" applyBorder="1" applyAlignment="1" applyProtection="1">
      <alignment horizontal="center" vertical="center"/>
      <protection hidden="1"/>
    </xf>
    <xf numFmtId="1" fontId="3" fillId="0" borderId="62" xfId="1540" applyNumberFormat="1" applyFont="1" applyFill="1" applyBorder="1" applyAlignment="1" applyProtection="1">
      <alignment horizontal="center" vertical="center"/>
      <protection hidden="1"/>
    </xf>
    <xf numFmtId="0" fontId="3" fillId="0" borderId="22" xfId="1540" applyFont="1" applyFill="1" applyBorder="1" applyAlignment="1">
      <alignment horizontal="center" vertical="center"/>
    </xf>
    <xf numFmtId="1" fontId="3" fillId="0" borderId="21" xfId="1540" applyNumberFormat="1" applyFont="1" applyFill="1" applyBorder="1" applyAlignment="1" applyProtection="1">
      <alignment horizontal="center" vertical="center"/>
      <protection hidden="1"/>
    </xf>
    <xf numFmtId="1" fontId="3" fillId="0" borderId="74" xfId="1540" applyNumberFormat="1" applyFont="1" applyFill="1" applyBorder="1" applyAlignment="1" applyProtection="1">
      <alignment horizontal="center" vertical="center"/>
      <protection hidden="1"/>
    </xf>
    <xf numFmtId="1" fontId="3" fillId="0" borderId="6" xfId="1540" applyNumberFormat="1" applyFont="1" applyFill="1" applyBorder="1" applyAlignment="1" applyProtection="1">
      <alignment horizontal="center" vertical="center"/>
      <protection hidden="1"/>
    </xf>
    <xf numFmtId="0" fontId="3" fillId="0" borderId="21" xfId="1540" applyFont="1" applyFill="1" applyBorder="1" applyAlignment="1">
      <alignment horizontal="center" vertical="center"/>
    </xf>
    <xf numFmtId="1" fontId="3" fillId="0" borderId="20" xfId="1540" applyNumberFormat="1" applyFont="1" applyFill="1" applyBorder="1" applyAlignment="1" applyProtection="1">
      <alignment horizontal="center" vertical="center"/>
      <protection hidden="1"/>
    </xf>
    <xf numFmtId="0" fontId="3" fillId="0" borderId="86" xfId="0" applyNumberFormat="1" applyFont="1" applyFill="1" applyBorder="1" applyAlignment="1" applyProtection="1">
      <alignment horizontal="left" vertical="center"/>
      <protection hidden="1"/>
    </xf>
    <xf numFmtId="0" fontId="4" fillId="0" borderId="87" xfId="0" applyNumberFormat="1" applyFont="1" applyFill="1" applyBorder="1" applyAlignment="1" applyProtection="1">
      <alignment horizontal="left" vertical="center"/>
      <protection hidden="1"/>
    </xf>
    <xf numFmtId="0" fontId="4" fillId="0" borderId="88" xfId="0" applyNumberFormat="1" applyFont="1" applyFill="1" applyBorder="1" applyAlignment="1" applyProtection="1">
      <alignment horizontal="left" vertical="center"/>
      <protection hidden="1"/>
    </xf>
    <xf numFmtId="0" fontId="1" fillId="0" borderId="76" xfId="0" applyNumberFormat="1" applyFont="1" applyFill="1" applyBorder="1" applyAlignment="1" applyProtection="1">
      <alignment vertical="center"/>
      <protection hidden="1"/>
    </xf>
    <xf numFmtId="0" fontId="4" fillId="0" borderId="63" xfId="0" applyFont="1" applyFill="1" applyBorder="1" applyAlignment="1" applyProtection="1">
      <alignment vertical="center"/>
      <protection hidden="1"/>
    </xf>
    <xf numFmtId="0" fontId="4" fillId="0" borderId="36" xfId="0" applyFont="1" applyFill="1" applyBorder="1" applyAlignment="1" applyProtection="1">
      <alignment vertical="center"/>
      <protection hidden="1"/>
    </xf>
    <xf numFmtId="1" fontId="3" fillId="0" borderId="37" xfId="0" applyNumberFormat="1" applyFont="1" applyFill="1" applyBorder="1" applyAlignment="1" applyProtection="1">
      <alignment vertical="center"/>
      <protection hidden="1"/>
    </xf>
    <xf numFmtId="0" fontId="4" fillId="0" borderId="36" xfId="1540" applyFont="1" applyFill="1" applyBorder="1" applyAlignment="1" applyProtection="1">
      <alignment vertical="center"/>
      <protection hidden="1"/>
    </xf>
    <xf numFmtId="165" fontId="3" fillId="0" borderId="37" xfId="1540" applyNumberFormat="1" applyFont="1" applyFill="1" applyBorder="1" applyAlignment="1" applyProtection="1">
      <alignment vertical="center"/>
      <protection hidden="1"/>
    </xf>
    <xf numFmtId="1" fontId="3" fillId="0" borderId="20" xfId="0" applyNumberFormat="1" applyFont="1" applyFill="1" applyBorder="1" applyAlignment="1" applyProtection="1">
      <alignment vertical="center"/>
    </xf>
    <xf numFmtId="1" fontId="3" fillId="0" borderId="37" xfId="0" applyNumberFormat="1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80" xfId="0" applyFont="1" applyFill="1" applyBorder="1" applyAlignment="1" applyProtection="1">
      <alignment vertical="center"/>
      <protection hidden="1"/>
    </xf>
    <xf numFmtId="1" fontId="3" fillId="0" borderId="33" xfId="0" applyNumberFormat="1" applyFont="1" applyFill="1" applyBorder="1" applyAlignment="1" applyProtection="1">
      <alignment horizontal="center" vertical="center"/>
      <protection hidden="1"/>
    </xf>
    <xf numFmtId="1" fontId="3" fillId="0" borderId="89" xfId="0" applyNumberFormat="1" applyFont="1" applyFill="1" applyBorder="1" applyAlignment="1" applyProtection="1">
      <alignment horizontal="center" vertical="center"/>
      <protection hidden="1"/>
    </xf>
    <xf numFmtId="1" fontId="3" fillId="0" borderId="90" xfId="0" applyNumberFormat="1" applyFont="1" applyFill="1" applyBorder="1" applyAlignment="1" applyProtection="1">
      <alignment horizontal="center" vertical="center"/>
      <protection hidden="1"/>
    </xf>
    <xf numFmtId="1" fontId="3" fillId="0" borderId="92" xfId="0" applyNumberFormat="1" applyFont="1" applyFill="1" applyBorder="1" applyAlignment="1" applyProtection="1">
      <alignment horizontal="center" vertical="center"/>
      <protection hidden="1"/>
    </xf>
    <xf numFmtId="165" fontId="3" fillId="0" borderId="93" xfId="0" applyNumberFormat="1" applyFont="1" applyFill="1" applyBorder="1" applyAlignment="1" applyProtection="1">
      <alignment horizontal="center" vertical="center"/>
      <protection hidden="1"/>
    </xf>
    <xf numFmtId="1" fontId="3" fillId="0" borderId="21" xfId="0" applyNumberFormat="1" applyFont="1" applyFill="1" applyBorder="1" applyAlignment="1" applyProtection="1">
      <alignment horizontal="center" vertical="center"/>
      <protection hidden="1"/>
    </xf>
    <xf numFmtId="1" fontId="3" fillId="0" borderId="94" xfId="0" applyNumberFormat="1" applyFont="1" applyFill="1" applyBorder="1" applyAlignment="1" applyProtection="1">
      <alignment horizontal="center" vertical="center"/>
      <protection hidden="1"/>
    </xf>
    <xf numFmtId="165" fontId="3" fillId="0" borderId="95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3" xfId="0" applyNumberFormat="1" applyFont="1" applyFill="1" applyBorder="1" applyAlignment="1" applyProtection="1">
      <alignment horizontal="center" vertical="center"/>
      <protection hidden="1"/>
    </xf>
    <xf numFmtId="165" fontId="3" fillId="0" borderId="92" xfId="0" applyNumberFormat="1" applyFont="1" applyFill="1" applyBorder="1" applyAlignment="1" applyProtection="1">
      <alignment horizontal="center" vertical="center"/>
      <protection hidden="1"/>
    </xf>
    <xf numFmtId="165" fontId="3" fillId="0" borderId="14" xfId="0" applyNumberFormat="1" applyFont="1" applyFill="1" applyBorder="1" applyAlignment="1" applyProtection="1">
      <alignment horizontal="center" vertical="center"/>
      <protection hidden="1"/>
    </xf>
    <xf numFmtId="165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48" xfId="0" applyNumberFormat="1" applyFont="1" applyFill="1" applyBorder="1" applyAlignment="1" applyProtection="1">
      <alignment horizontal="center" vertical="center"/>
      <protection hidden="1"/>
    </xf>
    <xf numFmtId="0" fontId="3" fillId="0" borderId="78" xfId="0" applyNumberFormat="1" applyFont="1" applyFill="1" applyBorder="1" applyAlignment="1" applyProtection="1">
      <alignment horizontal="center" vertical="center"/>
      <protection hidden="1"/>
    </xf>
    <xf numFmtId="1" fontId="3" fillId="0" borderId="20" xfId="0" applyNumberFormat="1" applyFont="1" applyFill="1" applyBorder="1" applyAlignment="1" applyProtection="1">
      <alignment horizontal="center" vertical="center"/>
      <protection hidden="1"/>
    </xf>
    <xf numFmtId="1" fontId="3" fillId="0" borderId="96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Alignment="1">
      <alignment vertical="center"/>
    </xf>
    <xf numFmtId="0" fontId="3" fillId="0" borderId="74" xfId="0" applyNumberFormat="1" applyFont="1" applyFill="1" applyBorder="1" applyAlignment="1" applyProtection="1">
      <alignment horizontal="center" vertical="center"/>
      <protection hidden="1"/>
    </xf>
    <xf numFmtId="0" fontId="3" fillId="0" borderId="94" xfId="0" applyNumberFormat="1" applyFont="1" applyFill="1" applyBorder="1" applyAlignment="1" applyProtection="1">
      <alignment horizontal="center" vertical="center"/>
      <protection hidden="1"/>
    </xf>
    <xf numFmtId="0" fontId="3" fillId="0" borderId="95" xfId="0" quotePrefix="1" applyNumberFormat="1" applyFont="1" applyFill="1" applyBorder="1" applyAlignment="1" applyProtection="1">
      <alignment horizontal="center" vertical="center"/>
      <protection hidden="1"/>
    </xf>
    <xf numFmtId="1" fontId="0" fillId="0" borderId="0" xfId="0" applyNumberFormat="1" applyFill="1" applyAlignment="1">
      <alignment vertical="center"/>
    </xf>
    <xf numFmtId="0" fontId="3" fillId="0" borderId="81" xfId="0" applyNumberFormat="1" applyFont="1" applyFill="1" applyBorder="1" applyAlignment="1" applyProtection="1">
      <alignment horizontal="center" vertical="center"/>
      <protection hidden="1"/>
    </xf>
    <xf numFmtId="0" fontId="3" fillId="0" borderId="98" xfId="0" applyNumberFormat="1" applyFont="1" applyFill="1" applyBorder="1" applyAlignment="1" applyProtection="1">
      <alignment horizontal="center" vertical="center"/>
      <protection hidden="1"/>
    </xf>
    <xf numFmtId="0" fontId="3" fillId="0" borderId="83" xfId="0" applyNumberFormat="1" applyFont="1" applyFill="1" applyBorder="1" applyAlignment="1" applyProtection="1">
      <alignment horizontal="center" vertical="center"/>
      <protection hidden="1"/>
    </xf>
    <xf numFmtId="0" fontId="3" fillId="0" borderId="8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16" fontId="0" fillId="0" borderId="0" xfId="0" applyNumberFormat="1" applyFill="1" applyBorder="1" applyAlignment="1">
      <alignment vertical="center"/>
    </xf>
    <xf numFmtId="165" fontId="3" fillId="0" borderId="45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37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1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6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74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4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59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6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74" xfId="0" applyNumberFormat="1" applyFont="1" applyFill="1" applyBorder="1" applyAlignment="1" applyProtection="1">
      <alignment horizontal="center" vertical="center"/>
      <protection hidden="1"/>
    </xf>
    <xf numFmtId="165" fontId="3" fillId="0" borderId="74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>
      <alignment horizontal="center"/>
    </xf>
    <xf numFmtId="0" fontId="3" fillId="0" borderId="20" xfId="0" applyNumberFormat="1" applyFont="1" applyFill="1" applyBorder="1" applyAlignment="1" applyProtection="1">
      <alignment horizontal="left" vertical="center"/>
      <protection hidden="1"/>
    </xf>
    <xf numFmtId="0" fontId="3" fillId="0" borderId="47" xfId="0" applyFont="1" applyFill="1" applyBorder="1" applyAlignment="1" applyProtection="1">
      <alignment horizontal="center" vertical="top" textRotation="180"/>
      <protection locked="0" hidden="1"/>
    </xf>
    <xf numFmtId="0" fontId="4" fillId="0" borderId="27" xfId="0" applyFont="1" applyFill="1" applyBorder="1" applyAlignment="1" applyProtection="1">
      <alignment horizontal="right" vertical="center"/>
      <protection locked="0" hidden="1"/>
    </xf>
    <xf numFmtId="1" fontId="4" fillId="0" borderId="19" xfId="0" applyNumberFormat="1" applyFont="1" applyFill="1" applyBorder="1" applyAlignment="1" applyProtection="1">
      <alignment horizontal="right" vertical="center"/>
      <protection hidden="1"/>
    </xf>
    <xf numFmtId="0" fontId="6" fillId="0" borderId="48" xfId="0" applyFont="1" applyFill="1" applyBorder="1" applyAlignment="1" applyProtection="1">
      <alignment vertical="center"/>
      <protection locked="0" hidden="1"/>
    </xf>
    <xf numFmtId="1" fontId="4" fillId="0" borderId="22" xfId="0" applyNumberFormat="1" applyFont="1" applyFill="1" applyBorder="1" applyAlignment="1" applyProtection="1">
      <alignment vertical="center"/>
      <protection locked="0" hidden="1"/>
    </xf>
    <xf numFmtId="165" fontId="4" fillId="0" borderId="27" xfId="0" applyNumberFormat="1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vertical="center"/>
      <protection locked="0" hidden="1"/>
    </xf>
    <xf numFmtId="0" fontId="11" fillId="0" borderId="22" xfId="0" applyFont="1" applyFill="1" applyBorder="1" applyAlignment="1" applyProtection="1">
      <alignment vertical="center"/>
      <protection locked="0" hidden="1"/>
    </xf>
    <xf numFmtId="0" fontId="0" fillId="0" borderId="21" xfId="0" applyFill="1" applyBorder="1" applyAlignment="1" applyProtection="1">
      <alignment vertical="center"/>
      <protection locked="0" hidden="1"/>
    </xf>
    <xf numFmtId="0" fontId="11" fillId="0" borderId="21" xfId="0" applyFont="1" applyFill="1" applyBorder="1" applyAlignment="1" applyProtection="1">
      <alignment vertical="center"/>
      <protection locked="0" hidden="1"/>
    </xf>
    <xf numFmtId="0" fontId="11" fillId="0" borderId="27" xfId="0" applyFont="1" applyFill="1" applyBorder="1" applyProtection="1">
      <protection locked="0" hidden="1"/>
    </xf>
    <xf numFmtId="0" fontId="4" fillId="0" borderId="27" xfId="0" applyFont="1" applyFill="1" applyBorder="1" applyAlignment="1" applyProtection="1">
      <alignment vertical="center"/>
    </xf>
    <xf numFmtId="0" fontId="0" fillId="0" borderId="57" xfId="0" applyFill="1" applyBorder="1"/>
    <xf numFmtId="0" fontId="0" fillId="0" borderId="57" xfId="0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3" fillId="0" borderId="57" xfId="0" applyFont="1" applyFill="1" applyBorder="1" applyAlignment="1" applyProtection="1">
      <alignment horizontal="center"/>
    </xf>
    <xf numFmtId="0" fontId="3" fillId="0" borderId="47" xfId="0" applyFont="1" applyFill="1" applyBorder="1" applyProtection="1">
      <protection locked="0" hidden="1"/>
    </xf>
    <xf numFmtId="0" fontId="3" fillId="0" borderId="19" xfId="0" applyFont="1" applyFill="1" applyBorder="1" applyAlignment="1" applyProtection="1">
      <alignment horizontal="center" vertical="top" textRotation="180"/>
      <protection locked="0" hidden="1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Protection="1">
      <protection locked="0" hidden="1"/>
    </xf>
    <xf numFmtId="0" fontId="3" fillId="0" borderId="21" xfId="0" applyFont="1" applyFill="1" applyBorder="1" applyAlignment="1" applyProtection="1">
      <alignment vertical="center"/>
      <protection locked="0" hidden="1"/>
    </xf>
    <xf numFmtId="1" fontId="3" fillId="0" borderId="27" xfId="0" applyNumberFormat="1" applyFont="1" applyFill="1" applyBorder="1" applyProtection="1">
      <protection locked="0" hidden="1"/>
    </xf>
    <xf numFmtId="0" fontId="3" fillId="0" borderId="0" xfId="0" applyNumberFormat="1" applyFont="1" applyFill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3" fillId="0" borderId="100" xfId="0" applyFont="1" applyFill="1" applyBorder="1" applyAlignment="1" applyProtection="1">
      <alignment vertical="center"/>
    </xf>
    <xf numFmtId="0" fontId="3" fillId="0" borderId="101" xfId="0" applyFont="1" applyFill="1" applyBorder="1" applyAlignment="1" applyProtection="1">
      <alignment vertical="center"/>
    </xf>
    <xf numFmtId="0" fontId="3" fillId="0" borderId="102" xfId="0" quotePrefix="1" applyFont="1" applyFill="1" applyBorder="1" applyAlignment="1">
      <alignment horizontal="center" vertical="center"/>
    </xf>
    <xf numFmtId="0" fontId="1" fillId="0" borderId="103" xfId="0" applyNumberFormat="1" applyFont="1" applyFill="1" applyBorder="1" applyAlignment="1" applyProtection="1">
      <alignment horizontal="center" vertical="center"/>
      <protection hidden="1"/>
    </xf>
    <xf numFmtId="0" fontId="1" fillId="0" borderId="104" xfId="0" applyNumberFormat="1" applyFont="1" applyFill="1" applyBorder="1" applyAlignment="1" applyProtection="1">
      <alignment horizontal="center" vertical="center"/>
      <protection hidden="1"/>
    </xf>
    <xf numFmtId="1" fontId="4" fillId="0" borderId="36" xfId="0" applyNumberFormat="1" applyFont="1" applyFill="1" applyBorder="1" applyAlignment="1" applyProtection="1">
      <alignment vertical="center"/>
      <protection hidden="1"/>
    </xf>
    <xf numFmtId="0" fontId="3" fillId="0" borderId="27" xfId="0" applyNumberFormat="1" applyFont="1" applyFill="1" applyBorder="1" applyAlignment="1" applyProtection="1">
      <alignment horizontal="center" vertical="center"/>
      <protection hidden="1"/>
    </xf>
    <xf numFmtId="165" fontId="3" fillId="0" borderId="37" xfId="0" applyNumberFormat="1" applyFont="1" applyFill="1" applyBorder="1" applyAlignment="1" applyProtection="1">
      <alignment vertical="center"/>
      <protection hidden="1"/>
    </xf>
    <xf numFmtId="1" fontId="3" fillId="0" borderId="36" xfId="0" applyNumberFormat="1" applyFont="1" applyFill="1" applyBorder="1" applyAlignment="1" applyProtection="1">
      <alignment vertical="center"/>
      <protection hidden="1"/>
    </xf>
    <xf numFmtId="1" fontId="3" fillId="0" borderId="33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2" xfId="0" applyNumberFormat="1" applyFont="1" applyFill="1" applyBorder="1" applyAlignment="1" applyProtection="1">
      <alignment vertical="center"/>
      <protection locked="0" hidden="1"/>
    </xf>
    <xf numFmtId="1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28" xfId="0" applyFill="1" applyBorder="1" applyAlignment="1">
      <alignment horizontal="right" vertical="center"/>
    </xf>
    <xf numFmtId="1" fontId="3" fillId="0" borderId="22" xfId="0" applyNumberFormat="1" applyFont="1" applyFill="1" applyBorder="1" applyAlignment="1" applyProtection="1">
      <alignment vertical="center"/>
    </xf>
    <xf numFmtId="1" fontId="3" fillId="0" borderId="21" xfId="0" applyNumberFormat="1" applyFont="1" applyFill="1" applyBorder="1" applyAlignment="1" applyProtection="1">
      <alignment vertical="center"/>
    </xf>
    <xf numFmtId="165" fontId="3" fillId="0" borderId="22" xfId="0" applyNumberFormat="1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165" fontId="3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33" xfId="0" applyFont="1" applyFill="1" applyBorder="1" applyAlignment="1" applyProtection="1">
      <alignment vertical="center"/>
      <protection locked="0" hidden="1"/>
    </xf>
    <xf numFmtId="165" fontId="3" fillId="0" borderId="33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89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>
      <alignment vertical="center"/>
    </xf>
    <xf numFmtId="0" fontId="1" fillId="0" borderId="22" xfId="0" applyFont="1" applyFill="1" applyBorder="1" applyAlignment="1" applyProtection="1">
      <alignment vertical="center"/>
      <protection locked="0" hidden="1"/>
    </xf>
    <xf numFmtId="165" fontId="3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>
      <alignment vertical="center"/>
    </xf>
    <xf numFmtId="0" fontId="3" fillId="0" borderId="107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vertical="center"/>
      <protection locked="0" hidden="1"/>
    </xf>
    <xf numFmtId="0" fontId="3" fillId="0" borderId="108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9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 applyProtection="1">
      <alignment vertical="center"/>
    </xf>
    <xf numFmtId="1" fontId="3" fillId="0" borderId="33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89" xfId="0" applyNumberFormat="1" applyFont="1" applyFill="1" applyBorder="1" applyAlignment="1" applyProtection="1">
      <alignment horizontal="center" vertical="center"/>
      <protection hidden="1"/>
    </xf>
    <xf numFmtId="0" fontId="3" fillId="0" borderId="79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Fill="1" applyBorder="1" applyAlignment="1" applyProtection="1">
      <alignment vertical="center"/>
    </xf>
    <xf numFmtId="0" fontId="3" fillId="0" borderId="59" xfId="0" applyNumberFormat="1" applyFont="1" applyFill="1" applyBorder="1" applyAlignment="1" applyProtection="1">
      <alignment horizontal="center" vertical="center"/>
      <protection hidden="1"/>
    </xf>
    <xf numFmtId="0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102" xfId="0" applyFont="1" applyFill="1" applyBorder="1" applyAlignment="1" applyProtection="1">
      <alignment vertical="center"/>
    </xf>
    <xf numFmtId="0" fontId="3" fillId="0" borderId="21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20" xfId="0" applyNumberFormat="1" applyFont="1" applyFill="1" applyBorder="1" applyAlignment="1" applyProtection="1">
      <alignment vertical="center"/>
      <protection locked="0" hidden="1"/>
    </xf>
    <xf numFmtId="1" fontId="3" fillId="0" borderId="2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0" xfId="0" applyNumberFormat="1" applyFont="1" applyFill="1" applyBorder="1" applyAlignment="1" applyProtection="1">
      <alignment vertical="center"/>
      <protection hidden="1"/>
    </xf>
    <xf numFmtId="1" fontId="3" fillId="0" borderId="62" xfId="0" applyNumberFormat="1" applyFont="1" applyFill="1" applyBorder="1" applyAlignment="1" applyProtection="1">
      <alignment vertical="center"/>
    </xf>
    <xf numFmtId="1" fontId="3" fillId="0" borderId="62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1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33" xfId="0" applyNumberFormat="1" applyFont="1" applyFill="1" applyBorder="1" applyAlignment="1" applyProtection="1">
      <alignment vertical="center"/>
    </xf>
    <xf numFmtId="165" fontId="3" fillId="0" borderId="3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62" xfId="0" applyFont="1" applyFill="1" applyBorder="1" applyAlignment="1" applyProtection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1" fontId="3" fillId="0" borderId="28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94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1" xfId="0" applyNumberFormat="1" applyFont="1" applyFill="1" applyBorder="1" applyAlignment="1" applyProtection="1">
      <alignment vertical="center"/>
    </xf>
    <xf numFmtId="0" fontId="0" fillId="0" borderId="69" xfId="0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3" fillId="0" borderId="19" xfId="0" applyFont="1" applyFill="1" applyBorder="1" applyAlignment="1" applyProtection="1">
      <alignment vertical="center"/>
    </xf>
    <xf numFmtId="1" fontId="3" fillId="0" borderId="49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109" xfId="0" applyNumberFormat="1" applyFont="1" applyFill="1" applyBorder="1" applyAlignment="1" applyProtection="1">
      <alignment horizontal="center" vertical="center"/>
      <protection hidden="1"/>
    </xf>
    <xf numFmtId="1" fontId="3" fillId="0" borderId="45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99" xfId="0" applyNumberFormat="1" applyFont="1" applyFill="1" applyBorder="1" applyAlignment="1" applyProtection="1">
      <alignment horizontal="center" vertical="center"/>
      <protection hidden="1"/>
    </xf>
    <xf numFmtId="0" fontId="3" fillId="0" borderId="37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110" xfId="0" applyNumberFormat="1" applyFont="1" applyFill="1" applyBorder="1" applyAlignment="1" applyProtection="1">
      <alignment horizontal="center" vertical="center"/>
      <protection hidden="1"/>
    </xf>
    <xf numFmtId="1" fontId="3" fillId="0" borderId="79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90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92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0" borderId="29" xfId="0" quotePrefix="1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0" applyNumberFormat="1" applyFill="1" applyBorder="1" applyAlignment="1">
      <alignment horizontal="right" vertical="center"/>
    </xf>
    <xf numFmtId="0" fontId="4" fillId="0" borderId="36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" fontId="3" fillId="0" borderId="51" xfId="0" applyNumberFormat="1" applyFont="1" applyFill="1" applyBorder="1" applyAlignment="1" applyProtection="1">
      <alignment vertical="center"/>
    </xf>
    <xf numFmtId="1" fontId="3" fillId="0" borderId="51" xfId="0" applyNumberFormat="1" applyFont="1" applyFill="1" applyBorder="1" applyAlignment="1" applyProtection="1">
      <alignment horizontal="center" vertical="center"/>
    </xf>
    <xf numFmtId="1" fontId="3" fillId="0" borderId="20" xfId="0" applyNumberFormat="1" applyFont="1" applyFill="1" applyBorder="1" applyAlignment="1" applyProtection="1">
      <alignment horizontal="center" vertical="center"/>
    </xf>
    <xf numFmtId="1" fontId="3" fillId="0" borderId="13" xfId="0" applyNumberFormat="1" applyFont="1" applyFill="1" applyBorder="1" applyAlignment="1" applyProtection="1">
      <alignment horizontal="center" vertical="center"/>
    </xf>
    <xf numFmtId="1" fontId="3" fillId="0" borderId="60" xfId="0" applyNumberFormat="1" applyFont="1" applyFill="1" applyBorder="1" applyAlignment="1" applyProtection="1">
      <alignment horizontal="center" vertical="center"/>
    </xf>
    <xf numFmtId="165" fontId="3" fillId="0" borderId="37" xfId="0" applyNumberFormat="1" applyFont="1" applyFill="1" applyBorder="1" applyAlignment="1" applyProtection="1">
      <alignment horizontal="center" vertical="center"/>
    </xf>
    <xf numFmtId="165" fontId="3" fillId="0" borderId="22" xfId="0" applyNumberFormat="1" applyFont="1" applyFill="1" applyBorder="1" applyAlignment="1" applyProtection="1">
      <alignment horizontal="center" vertical="center"/>
    </xf>
    <xf numFmtId="165" fontId="3" fillId="0" borderId="14" xfId="0" applyNumberFormat="1" applyFont="1" applyFill="1" applyBorder="1" applyAlignment="1" applyProtection="1">
      <alignment horizontal="center" vertical="center"/>
    </xf>
    <xf numFmtId="165" fontId="3" fillId="0" borderId="92" xfId="0" applyNumberFormat="1" applyFont="1" applyFill="1" applyBorder="1" applyAlignment="1" applyProtection="1">
      <alignment horizontal="center" vertical="center"/>
    </xf>
    <xf numFmtId="165" fontId="3" fillId="0" borderId="59" xfId="0" applyNumberFormat="1" applyFont="1" applyFill="1" applyBorder="1" applyAlignment="1" applyProtection="1">
      <alignment horizontal="center" vertical="center"/>
    </xf>
    <xf numFmtId="1" fontId="3" fillId="0" borderId="62" xfId="0" applyNumberFormat="1" applyFont="1" applyFill="1" applyBorder="1" applyAlignment="1" applyProtection="1">
      <alignment horizontal="center" vertical="center"/>
      <protection hidden="1"/>
    </xf>
    <xf numFmtId="165" fontId="3" fillId="0" borderId="21" xfId="0" quotePrefix="1" applyNumberFormat="1" applyFont="1" applyFill="1" applyBorder="1" applyAlignment="1" applyProtection="1">
      <alignment horizontal="center" vertical="center"/>
    </xf>
    <xf numFmtId="0" fontId="4" fillId="0" borderId="63" xfId="0" applyFont="1" applyFill="1" applyBorder="1" applyAlignment="1" applyProtection="1">
      <alignment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78" xfId="0" applyNumberFormat="1" applyFont="1" applyFill="1" applyBorder="1" applyAlignment="1" applyProtection="1">
      <alignment horizontal="center" vertical="center"/>
    </xf>
    <xf numFmtId="0" fontId="3" fillId="0" borderId="38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3" fillId="0" borderId="22" xfId="0" applyNumberFormat="1" applyFont="1" applyFill="1" applyBorder="1" applyAlignment="1" applyProtection="1">
      <alignment horizontal="center" vertical="center"/>
    </xf>
    <xf numFmtId="1" fontId="3" fillId="0" borderId="59" xfId="0" applyNumberFormat="1" applyFont="1" applyFill="1" applyBorder="1" applyAlignment="1" applyProtection="1">
      <alignment horizontal="center" vertical="center"/>
    </xf>
    <xf numFmtId="1" fontId="3" fillId="0" borderId="37" xfId="0" applyNumberFormat="1" applyFont="1" applyFill="1" applyBorder="1" applyAlignment="1" applyProtection="1">
      <alignment horizontal="center" vertical="center"/>
    </xf>
    <xf numFmtId="1" fontId="3" fillId="0" borderId="21" xfId="0" applyNumberFormat="1" applyFont="1" applyFill="1" applyBorder="1" applyAlignment="1" applyProtection="1">
      <alignment horizontal="center" vertical="center"/>
    </xf>
    <xf numFmtId="1" fontId="3" fillId="0" borderId="74" xfId="0" applyNumberFormat="1" applyFont="1" applyFill="1" applyBorder="1" applyAlignment="1" applyProtection="1">
      <alignment horizontal="center" vertical="center"/>
    </xf>
    <xf numFmtId="165" fontId="3" fillId="0" borderId="21" xfId="0" applyNumberFormat="1" applyFont="1" applyFill="1" applyBorder="1" applyAlignment="1" applyProtection="1">
      <alignment horizontal="center" vertical="center"/>
    </xf>
    <xf numFmtId="165" fontId="3" fillId="0" borderId="37" xfId="0" applyNumberFormat="1" applyFont="1" applyFill="1" applyBorder="1" applyAlignment="1" applyProtection="1">
      <alignment vertical="center"/>
    </xf>
    <xf numFmtId="1" fontId="3" fillId="0" borderId="21" xfId="0" quotePrefix="1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vertical="center"/>
    </xf>
    <xf numFmtId="1" fontId="3" fillId="0" borderId="36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Fill="1" applyBorder="1" applyAlignment="1" applyProtection="1">
      <alignment horizontal="center" vertical="center"/>
    </xf>
    <xf numFmtId="1" fontId="3" fillId="0" borderId="33" xfId="0" applyNumberFormat="1" applyFont="1" applyFill="1" applyBorder="1" applyAlignment="1" applyProtection="1">
      <alignment horizontal="center" vertical="center"/>
    </xf>
    <xf numFmtId="165" fontId="3" fillId="0" borderId="45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3" fillId="0" borderId="111" xfId="0" applyNumberFormat="1" applyFont="1" applyFill="1" applyBorder="1" applyAlignment="1" applyProtection="1">
      <alignment vertical="center"/>
    </xf>
    <xf numFmtId="1" fontId="3" fillId="0" borderId="111" xfId="0" applyNumberFormat="1" applyFont="1" applyFill="1" applyBorder="1" applyAlignment="1" applyProtection="1">
      <alignment horizontal="center" vertical="center"/>
    </xf>
    <xf numFmtId="1" fontId="3" fillId="0" borderId="84" xfId="0" applyNumberFormat="1" applyFont="1" applyFill="1" applyBorder="1" applyAlignment="1" applyProtection="1">
      <alignment horizontal="center" vertical="center"/>
    </xf>
    <xf numFmtId="165" fontId="3" fillId="0" borderId="62" xfId="0" applyNumberFormat="1" applyFont="1" applyFill="1" applyBorder="1" applyAlignment="1" applyProtection="1">
      <alignment horizontal="center" vertical="center"/>
    </xf>
    <xf numFmtId="165" fontId="4" fillId="0" borderId="36" xfId="0" applyNumberFormat="1" applyFont="1" applyFill="1" applyBorder="1" applyAlignment="1" applyProtection="1">
      <alignment vertical="center"/>
    </xf>
    <xf numFmtId="165" fontId="4" fillId="0" borderId="36" xfId="0" applyNumberFormat="1" applyFont="1" applyFill="1" applyBorder="1" applyAlignment="1" applyProtection="1">
      <alignment horizontal="center" vertical="center"/>
    </xf>
    <xf numFmtId="165" fontId="4" fillId="0" borderId="27" xfId="0" applyNumberFormat="1" applyFont="1" applyFill="1" applyBorder="1" applyAlignment="1" applyProtection="1">
      <alignment horizontal="center" vertical="center"/>
    </xf>
    <xf numFmtId="165" fontId="4" fillId="0" borderId="34" xfId="0" applyNumberFormat="1" applyFont="1" applyFill="1" applyBorder="1" applyAlignment="1" applyProtection="1">
      <alignment horizontal="center" vertical="center"/>
    </xf>
    <xf numFmtId="165" fontId="3" fillId="0" borderId="33" xfId="0" quotePrefix="1" applyNumberFormat="1" applyFont="1" applyFill="1" applyBorder="1" applyAlignment="1" applyProtection="1">
      <alignment horizontal="center" vertical="center"/>
    </xf>
    <xf numFmtId="165" fontId="3" fillId="0" borderId="89" xfId="0" applyNumberFormat="1" applyFont="1" applyFill="1" applyBorder="1" applyAlignment="1" applyProtection="1">
      <alignment horizontal="center" vertical="center"/>
    </xf>
    <xf numFmtId="0" fontId="3" fillId="0" borderId="111" xfId="0" applyFont="1" applyFill="1" applyBorder="1" applyAlignment="1" applyProtection="1">
      <alignment vertical="center"/>
    </xf>
    <xf numFmtId="165" fontId="3" fillId="0" borderId="111" xfId="0" applyNumberFormat="1" applyFont="1" applyFill="1" applyBorder="1" applyAlignment="1" applyProtection="1">
      <alignment horizontal="center" vertical="center"/>
    </xf>
    <xf numFmtId="165" fontId="3" fillId="0" borderId="85" xfId="0" applyNumberFormat="1" applyFont="1" applyFill="1" applyBorder="1" applyAlignment="1" applyProtection="1">
      <alignment horizontal="center" vertical="center"/>
    </xf>
    <xf numFmtId="165" fontId="3" fillId="0" borderId="112" xfId="0" applyNumberFormat="1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vertical="center"/>
    </xf>
    <xf numFmtId="165" fontId="3" fillId="0" borderId="51" xfId="0" quotePrefix="1" applyNumberFormat="1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</xf>
    <xf numFmtId="165" fontId="3" fillId="0" borderId="60" xfId="0" applyNumberFormat="1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vertical="center"/>
    </xf>
    <xf numFmtId="165" fontId="3" fillId="0" borderId="45" xfId="0" quotePrefix="1" applyNumberFormat="1" applyFont="1" applyFill="1" applyBorder="1" applyAlignment="1" applyProtection="1">
      <alignment horizontal="center" vertical="center"/>
    </xf>
    <xf numFmtId="165" fontId="3" fillId="0" borderId="14" xfId="0" quotePrefix="1" applyNumberFormat="1" applyFont="1" applyFill="1" applyBorder="1" applyAlignment="1" applyProtection="1">
      <alignment horizontal="center" vertical="center"/>
    </xf>
    <xf numFmtId="165" fontId="3" fillId="0" borderId="92" xfId="0" quotePrefix="1" applyNumberFormat="1" applyFont="1" applyFill="1" applyBorder="1" applyAlignment="1" applyProtection="1">
      <alignment horizontal="center" vertical="center"/>
    </xf>
    <xf numFmtId="165" fontId="3" fillId="0" borderId="111" xfId="0" quotePrefix="1" applyNumberFormat="1" applyFont="1" applyFill="1" applyBorder="1" applyAlignment="1" applyProtection="1">
      <alignment horizontal="center" vertical="center"/>
    </xf>
    <xf numFmtId="165" fontId="3" fillId="0" borderId="113" xfId="0" applyNumberFormat="1" applyFont="1" applyFill="1" applyBorder="1" applyAlignment="1" applyProtection="1">
      <alignment horizontal="center" vertical="center"/>
    </xf>
    <xf numFmtId="165" fontId="3" fillId="0" borderId="69" xfId="0" applyNumberFormat="1" applyFont="1" applyFill="1" applyBorder="1" applyAlignment="1" applyProtection="1">
      <alignment horizontal="center" vertical="center"/>
    </xf>
    <xf numFmtId="165" fontId="3" fillId="0" borderId="84" xfId="0" applyNumberFormat="1" applyFont="1" applyFill="1" applyBorder="1" applyAlignment="1" applyProtection="1">
      <alignment horizontal="center" vertical="center"/>
    </xf>
    <xf numFmtId="1" fontId="0" fillId="0" borderId="62" xfId="0" applyNumberFormat="1" applyFill="1" applyBorder="1" applyAlignment="1">
      <alignment horizontal="center" vertical="center"/>
    </xf>
    <xf numFmtId="1" fontId="3" fillId="0" borderId="48" xfId="0" applyNumberFormat="1" applyFont="1" applyFill="1" applyBorder="1" applyAlignment="1" applyProtection="1">
      <alignment horizontal="center" vertical="center"/>
    </xf>
    <xf numFmtId="1" fontId="3" fillId="0" borderId="19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49" xfId="0" applyFill="1" applyBorder="1" applyAlignment="1">
      <alignment vertical="center"/>
    </xf>
    <xf numFmtId="165" fontId="13" fillId="0" borderId="34" xfId="0" applyNumberFormat="1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9" xfId="0" applyNumberFormat="1" applyFont="1" applyFill="1" applyBorder="1" applyAlignment="1" applyProtection="1">
      <alignment horizontal="center" vertical="center"/>
    </xf>
    <xf numFmtId="0" fontId="3" fillId="0" borderId="29" xfId="0" quotePrefix="1" applyNumberFormat="1" applyFont="1" applyFill="1" applyBorder="1" applyAlignment="1" applyProtection="1">
      <alignment horizontal="center" vertical="center"/>
    </xf>
    <xf numFmtId="0" fontId="3" fillId="0" borderId="74" xfId="0" quotePrefix="1" applyNumberFormat="1" applyFont="1" applyFill="1" applyBorder="1" applyAlignment="1" applyProtection="1">
      <alignment horizontal="center" vertical="center"/>
    </xf>
    <xf numFmtId="0" fontId="3" fillId="0" borderId="51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3" fillId="0" borderId="60" xfId="0" applyNumberFormat="1" applyFont="1" applyFill="1" applyBorder="1" applyAlignment="1" applyProtection="1">
      <alignment horizontal="center" vertical="center"/>
    </xf>
    <xf numFmtId="0" fontId="3" fillId="0" borderId="13" xfId="0" quotePrefix="1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45" xfId="0" quotePrefix="1" applyFont="1" applyFill="1" applyBorder="1" applyAlignment="1" applyProtection="1">
      <alignment horizontal="center" vertical="center"/>
    </xf>
    <xf numFmtId="0" fontId="3" fillId="0" borderId="22" xfId="0" quotePrefix="1" applyFont="1" applyFill="1" applyBorder="1" applyAlignment="1" applyProtection="1">
      <alignment horizontal="center" vertical="center"/>
    </xf>
    <xf numFmtId="0" fontId="3" fillId="0" borderId="59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94" xfId="0" quotePrefix="1" applyNumberFormat="1" applyFont="1" applyFill="1" applyBorder="1" applyAlignment="1" applyProtection="1">
      <alignment horizontal="center" vertical="center"/>
    </xf>
    <xf numFmtId="0" fontId="3" fillId="0" borderId="69" xfId="0" quotePrefix="1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96" xfId="0" quotePrefix="1" applyNumberFormat="1" applyFont="1" applyFill="1" applyBorder="1" applyAlignment="1" applyProtection="1">
      <alignment horizontal="center" vertical="center"/>
    </xf>
    <xf numFmtId="0" fontId="3" fillId="0" borderId="92" xfId="0" applyNumberFormat="1" applyFont="1" applyFill="1" applyBorder="1" applyAlignment="1" applyProtection="1">
      <alignment horizontal="center" vertical="center"/>
    </xf>
    <xf numFmtId="0" fontId="3" fillId="0" borderId="114" xfId="0" applyFont="1" applyFill="1" applyBorder="1" applyAlignment="1" applyProtection="1">
      <alignment vertical="center"/>
    </xf>
    <xf numFmtId="0" fontId="3" fillId="0" borderId="114" xfId="0" quotePrefix="1" applyFont="1" applyFill="1" applyBorder="1" applyAlignment="1" applyProtection="1">
      <alignment horizontal="center" vertical="center"/>
    </xf>
    <xf numFmtId="0" fontId="3" fillId="0" borderId="102" xfId="0" quotePrefix="1" applyFont="1" applyFill="1" applyBorder="1" applyAlignment="1" applyProtection="1">
      <alignment horizontal="center" vertical="center"/>
    </xf>
    <xf numFmtId="0" fontId="3" fillId="0" borderId="104" xfId="0" applyNumberFormat="1" applyFont="1" applyFill="1" applyBorder="1" applyAlignment="1" applyProtection="1">
      <alignment horizontal="center" vertical="center"/>
    </xf>
    <xf numFmtId="0" fontId="3" fillId="0" borderId="115" xfId="0" applyNumberFormat="1" applyFont="1" applyFill="1" applyBorder="1" applyAlignment="1" applyProtection="1">
      <alignment horizontal="center" vertical="center"/>
    </xf>
    <xf numFmtId="0" fontId="3" fillId="0" borderId="103" xfId="0" applyNumberFormat="1" applyFont="1" applyFill="1" applyBorder="1" applyAlignment="1" applyProtection="1">
      <alignment horizontal="center" vertical="center"/>
    </xf>
    <xf numFmtId="1" fontId="4" fillId="0" borderId="36" xfId="0" applyNumberFormat="1" applyFont="1" applyFill="1" applyBorder="1" applyAlignment="1" applyProtection="1">
      <alignment horizontal="right" vertical="center"/>
      <protection hidden="1"/>
    </xf>
    <xf numFmtId="2" fontId="0" fillId="0" borderId="0" xfId="0" applyNumberFormat="1" applyFill="1" applyBorder="1" applyAlignment="1">
      <alignment vertical="center"/>
    </xf>
    <xf numFmtId="1" fontId="3" fillId="0" borderId="62" xfId="0" applyNumberFormat="1" applyFont="1" applyFill="1" applyBorder="1" applyAlignment="1" applyProtection="1">
      <alignment horizontal="center" vertical="center"/>
    </xf>
    <xf numFmtId="165" fontId="3" fillId="0" borderId="112" xfId="0" quotePrefix="1" applyNumberFormat="1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vertical="center"/>
    </xf>
    <xf numFmtId="0" fontId="3" fillId="0" borderId="49" xfId="0" applyFont="1" applyFill="1" applyBorder="1" applyAlignment="1" applyProtection="1">
      <alignment horizontal="center" vertical="center"/>
    </xf>
    <xf numFmtId="165" fontId="3" fillId="0" borderId="85" xfId="0" quotePrefix="1" applyNumberFormat="1" applyFont="1" applyFill="1" applyBorder="1" applyAlignment="1" applyProtection="1">
      <alignment horizontal="center" vertical="center"/>
    </xf>
    <xf numFmtId="165" fontId="3" fillId="0" borderId="84" xfId="0" quotePrefix="1" applyNumberFormat="1" applyFont="1" applyFill="1" applyBorder="1" applyAlignment="1" applyProtection="1">
      <alignment horizontal="center" vertical="center"/>
    </xf>
    <xf numFmtId="1" fontId="3" fillId="0" borderId="87" xfId="0" applyNumberFormat="1" applyFont="1" applyFill="1" applyBorder="1" applyAlignment="1" applyProtection="1">
      <alignment vertical="center"/>
    </xf>
    <xf numFmtId="1" fontId="3" fillId="0" borderId="105" xfId="0" applyNumberFormat="1" applyFont="1" applyFill="1" applyBorder="1" applyAlignment="1" applyProtection="1">
      <alignment vertical="center"/>
    </xf>
    <xf numFmtId="165" fontId="3" fillId="0" borderId="110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/>
    </xf>
    <xf numFmtId="165" fontId="3" fillId="0" borderId="13" xfId="0" quotePrefix="1" applyNumberFormat="1" applyFont="1" applyFill="1" applyBorder="1" applyAlignment="1" applyProtection="1">
      <alignment horizontal="center" vertical="center"/>
    </xf>
    <xf numFmtId="164" fontId="3" fillId="0" borderId="17" xfId="0" quotePrefix="1" applyNumberFormat="1" applyFont="1" applyFill="1" applyBorder="1" applyAlignment="1" applyProtection="1">
      <alignment horizontal="center" vertical="center"/>
      <protection hidden="1"/>
    </xf>
    <xf numFmtId="0" fontId="4" fillId="0" borderId="7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quotePrefix="1" applyNumberFormat="1" applyFont="1" applyFill="1" applyBorder="1" applyAlignment="1" applyProtection="1">
      <alignment horizontal="center" vertical="center"/>
    </xf>
    <xf numFmtId="1" fontId="3" fillId="0" borderId="89" xfId="0" applyNumberFormat="1" applyFont="1" applyFill="1" applyBorder="1" applyAlignment="1" applyProtection="1">
      <alignment horizontal="center" vertical="center"/>
    </xf>
    <xf numFmtId="1" fontId="3" fillId="0" borderId="119" xfId="0" applyNumberFormat="1" applyFont="1" applyFill="1" applyBorder="1" applyAlignment="1" applyProtection="1">
      <alignment horizontal="center" vertical="center"/>
      <protection hidden="1"/>
    </xf>
    <xf numFmtId="1" fontId="3" fillId="0" borderId="120" xfId="0" applyNumberFormat="1" applyFont="1" applyFill="1" applyBorder="1" applyAlignment="1" applyProtection="1">
      <alignment horizontal="center" vertical="center"/>
      <protection hidden="1"/>
    </xf>
    <xf numFmtId="1" fontId="3" fillId="0" borderId="118" xfId="0" applyNumberFormat="1" applyFont="1" applyFill="1" applyBorder="1" applyAlignment="1" applyProtection="1">
      <alignment horizontal="center" vertical="center"/>
      <protection hidden="1"/>
    </xf>
    <xf numFmtId="1" fontId="3" fillId="0" borderId="121" xfId="0" applyNumberFormat="1" applyFont="1" applyFill="1" applyBorder="1" applyAlignment="1" applyProtection="1">
      <alignment horizontal="center" vertical="center"/>
      <protection hidden="1"/>
    </xf>
    <xf numFmtId="165" fontId="3" fillId="0" borderId="120" xfId="0" applyNumberFormat="1" applyFont="1" applyFill="1" applyBorder="1" applyAlignment="1" applyProtection="1">
      <alignment horizontal="center" vertical="center"/>
      <protection hidden="1"/>
    </xf>
    <xf numFmtId="0" fontId="3" fillId="0" borderId="122" xfId="0" applyNumberFormat="1" applyFont="1" applyFill="1" applyBorder="1" applyAlignment="1" applyProtection="1">
      <alignment horizontal="center" vertical="center"/>
      <protection hidden="1"/>
    </xf>
    <xf numFmtId="1" fontId="3" fillId="0" borderId="123" xfId="0" applyNumberFormat="1" applyFont="1" applyFill="1" applyBorder="1" applyAlignment="1" applyProtection="1">
      <alignment horizontal="center" vertical="center"/>
      <protection hidden="1"/>
    </xf>
    <xf numFmtId="1" fontId="3" fillId="0" borderId="124" xfId="0" applyNumberFormat="1" applyFont="1" applyFill="1" applyBorder="1" applyAlignment="1" applyProtection="1">
      <alignment horizontal="center" vertical="center"/>
      <protection hidden="1"/>
    </xf>
    <xf numFmtId="0" fontId="3" fillId="0" borderId="118" xfId="0" applyNumberFormat="1" applyFont="1" applyFill="1" applyBorder="1" applyAlignment="1" applyProtection="1">
      <alignment horizontal="center" vertical="center"/>
      <protection hidden="1"/>
    </xf>
    <xf numFmtId="0" fontId="3" fillId="0" borderId="124" xfId="0" applyNumberFormat="1" applyFont="1" applyFill="1" applyBorder="1" applyAlignment="1" applyProtection="1">
      <alignment horizontal="center" vertical="center"/>
      <protection hidden="1"/>
    </xf>
    <xf numFmtId="1" fontId="3" fillId="0" borderId="125" xfId="0" applyNumberFormat="1" applyFont="1" applyFill="1" applyBorder="1" applyAlignment="1" applyProtection="1">
      <alignment horizontal="center" vertical="center"/>
      <protection hidden="1"/>
    </xf>
    <xf numFmtId="165" fontId="3" fillId="0" borderId="126" xfId="0" applyNumberFormat="1" applyFont="1" applyFill="1" applyBorder="1" applyAlignment="1" applyProtection="1">
      <alignment horizontal="center" vertical="center"/>
      <protection hidden="1"/>
    </xf>
    <xf numFmtId="0" fontId="3" fillId="0" borderId="127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128" xfId="0" applyNumberFormat="1" applyFont="1" applyFill="1" applyBorder="1" applyAlignment="1" applyProtection="1">
      <alignment horizontal="center" vertical="center"/>
      <protection hidden="1"/>
    </xf>
    <xf numFmtId="16" fontId="0" fillId="0" borderId="0" xfId="0" applyNumberForma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3" fillId="0" borderId="106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/>
    <xf numFmtId="0" fontId="3" fillId="0" borderId="34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 applyProtection="1">
      <alignment horizontal="center" vertical="center"/>
    </xf>
    <xf numFmtId="16" fontId="3" fillId="0" borderId="0" xfId="0" applyNumberFormat="1" applyFont="1" applyFill="1" applyBorder="1" applyAlignment="1">
      <alignment horizontal="center" vertical="center"/>
    </xf>
    <xf numFmtId="16" fontId="3" fillId="0" borderId="17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0" fontId="3" fillId="0" borderId="34" xfId="0" quotePrefix="1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vertical="center"/>
    </xf>
    <xf numFmtId="1" fontId="4" fillId="0" borderId="49" xfId="0" applyNumberFormat="1" applyFont="1" applyFill="1" applyBorder="1" applyAlignment="1" applyProtection="1">
      <alignment vertical="center"/>
    </xf>
    <xf numFmtId="1" fontId="4" fillId="0" borderId="19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1" fontId="4" fillId="0" borderId="6" xfId="0" applyNumberFormat="1" applyFont="1" applyFill="1" applyBorder="1" applyAlignment="1" applyProtection="1">
      <alignment vertical="center"/>
    </xf>
    <xf numFmtId="0" fontId="0" fillId="0" borderId="49" xfId="0" applyFill="1" applyBorder="1" applyAlignment="1">
      <alignment horizontal="right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3" fillId="0" borderId="61" xfId="0" quotePrefix="1" applyNumberFormat="1" applyFont="1" applyFill="1" applyBorder="1" applyAlignment="1" applyProtection="1">
      <alignment horizontal="center" vertical="center"/>
    </xf>
    <xf numFmtId="0" fontId="3" fillId="0" borderId="28" xfId="0" applyNumberFormat="1" applyFont="1" applyFill="1" applyBorder="1" applyAlignment="1" applyProtection="1">
      <alignment horizontal="center" vertical="center"/>
    </xf>
    <xf numFmtId="0" fontId="3" fillId="0" borderId="101" xfId="0" applyNumberFormat="1" applyFont="1" applyFill="1" applyBorder="1" applyAlignment="1" applyProtection="1">
      <alignment horizontal="center" vertical="center"/>
    </xf>
    <xf numFmtId="165" fontId="3" fillId="0" borderId="28" xfId="0" quotePrefix="1" applyNumberFormat="1" applyFont="1" applyFill="1" applyBorder="1" applyAlignment="1" applyProtection="1">
      <alignment horizontal="center" vertical="center"/>
    </xf>
    <xf numFmtId="0" fontId="3" fillId="0" borderId="37" xfId="0" quotePrefix="1" applyFont="1" applyFill="1" applyBorder="1" applyAlignment="1" applyProtection="1">
      <alignment horizontal="center" vertical="center"/>
    </xf>
    <xf numFmtId="0" fontId="3" fillId="0" borderId="21" xfId="0" quotePrefix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94" xfId="0" applyNumberFormat="1" applyFont="1" applyFill="1" applyBorder="1" applyAlignment="1" applyProtection="1">
      <alignment horizontal="center" vertical="center"/>
    </xf>
    <xf numFmtId="0" fontId="29" fillId="0" borderId="9" xfId="0" applyNumberFormat="1" applyFont="1" applyFill="1" applyBorder="1" applyAlignment="1" applyProtection="1">
      <alignment horizontal="center" textRotation="90"/>
    </xf>
    <xf numFmtId="0" fontId="3" fillId="0" borderId="9" xfId="0" applyNumberFormat="1" applyFont="1" applyFill="1" applyBorder="1" applyAlignment="1" applyProtection="1">
      <alignment horizontal="center" textRotation="90" wrapText="1"/>
    </xf>
    <xf numFmtId="0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132" xfId="0" applyNumberFormat="1" applyFont="1" applyFill="1" applyBorder="1" applyAlignment="1" applyProtection="1">
      <alignment horizontal="center" textRotation="90" shrinkToFit="1"/>
      <protection hidden="1"/>
    </xf>
    <xf numFmtId="0" fontId="3" fillId="0" borderId="35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84" xfId="0" applyNumberFormat="1" applyFont="1" applyFill="1" applyBorder="1" applyAlignment="1" applyProtection="1">
      <alignment horizontal="center" vertical="center"/>
      <protection hidden="1"/>
    </xf>
    <xf numFmtId="1" fontId="3" fillId="0" borderId="85" xfId="0" applyNumberFormat="1" applyFont="1" applyFill="1" applyBorder="1" applyAlignment="1" applyProtection="1">
      <alignment horizontal="center" vertical="center"/>
      <protection hidden="1"/>
    </xf>
    <xf numFmtId="1" fontId="3" fillId="0" borderId="15" xfId="0" applyNumberFormat="1" applyFont="1" applyFill="1" applyBorder="1" applyAlignment="1" applyProtection="1">
      <alignment horizontal="center" vertical="center"/>
      <protection hidden="1"/>
    </xf>
    <xf numFmtId="1" fontId="3" fillId="0" borderId="2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08" xfId="0" applyNumberFormat="1" applyFont="1" applyFill="1" applyBorder="1" applyAlignment="1" applyProtection="1">
      <alignment horizontal="center" vertical="center"/>
      <protection hidden="1"/>
    </xf>
    <xf numFmtId="165" fontId="3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28" xfId="0" applyNumberFormat="1" applyFont="1" applyFill="1" applyBorder="1" applyAlignment="1" applyProtection="1">
      <alignment horizontal="center" vertical="center"/>
      <protection locked="0" hidden="1"/>
    </xf>
    <xf numFmtId="0" fontId="3" fillId="0" borderId="92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59" xfId="0" applyNumberFormat="1" applyFont="1" applyFill="1" applyBorder="1" applyAlignment="1" applyProtection="1">
      <alignment horizontal="center" vertical="center"/>
      <protection hidden="1"/>
    </xf>
    <xf numFmtId="165" fontId="3" fillId="0" borderId="28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92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28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4" xfId="0" quotePrefix="1" applyNumberFormat="1" applyFont="1" applyFill="1" applyBorder="1" applyAlignment="1" applyProtection="1">
      <alignment horizontal="center" vertical="center"/>
      <protection locked="0" hidden="1"/>
    </xf>
    <xf numFmtId="1" fontId="3" fillId="0" borderId="106" xfId="0" applyNumberFormat="1" applyFont="1" applyFill="1" applyBorder="1" applyAlignment="1" applyProtection="1">
      <alignment horizontal="center" vertical="center"/>
      <protection hidden="1"/>
    </xf>
    <xf numFmtId="1" fontId="3" fillId="0" borderId="107" xfId="0" applyNumberFormat="1" applyFont="1" applyFill="1" applyBorder="1" applyAlignment="1" applyProtection="1">
      <alignment horizontal="center" vertical="center"/>
      <protection hidden="1"/>
    </xf>
    <xf numFmtId="1" fontId="3" fillId="0" borderId="7" xfId="0" applyNumberFormat="1" applyFont="1" applyFill="1" applyBorder="1" applyAlignment="1" applyProtection="1">
      <alignment horizontal="center" vertical="center"/>
      <protection hidden="1"/>
    </xf>
    <xf numFmtId="1" fontId="3" fillId="0" borderId="133" xfId="0" applyNumberFormat="1" applyFont="1" applyFill="1" applyBorder="1" applyAlignment="1" applyProtection="1">
      <alignment horizontal="center" vertical="center"/>
      <protection hidden="1"/>
    </xf>
    <xf numFmtId="165" fontId="3" fillId="0" borderId="107" xfId="0" applyNumberFormat="1" applyFont="1" applyFill="1" applyBorder="1" applyAlignment="1" applyProtection="1">
      <alignment horizontal="center" vertical="center"/>
      <protection hidden="1"/>
    </xf>
    <xf numFmtId="165" fontId="3" fillId="0" borderId="29" xfId="0" applyNumberFormat="1" applyFont="1" applyFill="1" applyBorder="1" applyAlignment="1" applyProtection="1">
      <alignment horizontal="center" vertical="center"/>
      <protection hidden="1"/>
    </xf>
    <xf numFmtId="165" fontId="3" fillId="0" borderId="108" xfId="0" applyNumberFormat="1" applyFont="1" applyFill="1" applyBorder="1" applyAlignment="1" applyProtection="1">
      <alignment horizontal="center" vertical="center"/>
      <protection hidden="1"/>
    </xf>
    <xf numFmtId="165" fontId="3" fillId="0" borderId="18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8" xfId="0" applyNumberFormat="1" applyFont="1" applyFill="1" applyBorder="1" applyAlignment="1" applyProtection="1">
      <alignment horizontal="center" vertical="center"/>
      <protection hidden="1"/>
    </xf>
    <xf numFmtId="165" fontId="3" fillId="0" borderId="89" xfId="0" applyNumberFormat="1" applyFont="1" applyFill="1" applyBorder="1" applyAlignment="1" applyProtection="1">
      <alignment horizontal="center" vertical="center"/>
      <protection hidden="1"/>
    </xf>
    <xf numFmtId="1" fontId="3" fillId="0" borderId="61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6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8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2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69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12" xfId="0" applyNumberFormat="1" applyFont="1" applyFill="1" applyBorder="1" applyAlignment="1" applyProtection="1">
      <alignment horizontal="center" vertical="center"/>
      <protection locked="0" hidden="1"/>
    </xf>
    <xf numFmtId="1" fontId="3" fillId="0" borderId="16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15" xfId="0" applyNumberFormat="1" applyFont="1" applyFill="1" applyBorder="1" applyAlignment="1" applyProtection="1">
      <alignment horizontal="center" vertical="center"/>
      <protection hidden="1"/>
    </xf>
    <xf numFmtId="165" fontId="3" fillId="0" borderId="7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0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9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" fontId="3" fillId="0" borderId="25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5" xfId="0" applyNumberFormat="1" applyFont="1" applyFill="1" applyBorder="1" applyAlignment="1" applyProtection="1">
      <alignment horizontal="center" vertical="center"/>
      <protection hidden="1"/>
    </xf>
    <xf numFmtId="1" fontId="3" fillId="0" borderId="96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</xf>
    <xf numFmtId="1" fontId="3" fillId="0" borderId="92" xfId="0" applyNumberFormat="1" applyFont="1" applyFill="1" applyBorder="1" applyAlignment="1" applyProtection="1">
      <alignment horizontal="center" vertical="center"/>
    </xf>
    <xf numFmtId="1" fontId="3" fillId="0" borderId="94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1" fontId="3" fillId="0" borderId="18" xfId="0" applyNumberFormat="1" applyFont="1" applyFill="1" applyBorder="1" applyAlignment="1" applyProtection="1">
      <alignment horizontal="center" vertical="center"/>
    </xf>
    <xf numFmtId="1" fontId="3" fillId="0" borderId="85" xfId="0" applyNumberFormat="1" applyFont="1" applyFill="1" applyBorder="1" applyAlignment="1" applyProtection="1">
      <alignment horizontal="center" vertical="center"/>
    </xf>
    <xf numFmtId="1" fontId="3" fillId="0" borderId="112" xfId="0" applyNumberFormat="1" applyFont="1" applyFill="1" applyBorder="1" applyAlignment="1" applyProtection="1">
      <alignment horizontal="center" vertical="center"/>
    </xf>
    <xf numFmtId="1" fontId="3" fillId="0" borderId="14" xfId="0" quotePrefix="1" applyNumberFormat="1" applyFont="1" applyFill="1" applyBorder="1" applyAlignment="1" applyProtection="1">
      <alignment horizontal="center" vertical="center"/>
    </xf>
    <xf numFmtId="1" fontId="3" fillId="0" borderId="92" xfId="0" quotePrefix="1" applyNumberFormat="1" applyFont="1" applyFill="1" applyBorder="1" applyAlignment="1" applyProtection="1">
      <alignment horizontal="center" vertical="center"/>
    </xf>
    <xf numFmtId="165" fontId="3" fillId="0" borderId="18" xfId="0" applyNumberFormat="1" applyFont="1" applyFill="1" applyBorder="1" applyAlignment="1" applyProtection="1">
      <alignment horizontal="center" vertical="center"/>
    </xf>
    <xf numFmtId="165" fontId="3" fillId="0" borderId="135" xfId="0" applyNumberFormat="1" applyFont="1" applyFill="1" applyBorder="1" applyAlignment="1" applyProtection="1">
      <alignment horizontal="center" vertical="center"/>
    </xf>
    <xf numFmtId="165" fontId="3" fillId="0" borderId="96" xfId="0" applyNumberFormat="1" applyFont="1" applyFill="1" applyBorder="1" applyAlignment="1" applyProtection="1">
      <alignment horizontal="center" vertical="center"/>
    </xf>
    <xf numFmtId="165" fontId="3" fillId="0" borderId="99" xfId="0" quotePrefix="1" applyNumberFormat="1" applyFont="1" applyFill="1" applyBorder="1" applyAlignment="1" applyProtection="1">
      <alignment horizontal="center" vertical="center"/>
    </xf>
    <xf numFmtId="1" fontId="3" fillId="0" borderId="31" xfId="0" applyNumberFormat="1" applyFont="1" applyFill="1" applyBorder="1" applyAlignment="1" applyProtection="1">
      <alignment horizontal="center" vertical="center"/>
    </xf>
    <xf numFmtId="1" fontId="3" fillId="0" borderId="94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59" xfId="0" quotePrefix="1" applyNumberFormat="1" applyFont="1" applyFill="1" applyBorder="1" applyAlignment="1" applyProtection="1">
      <alignment horizontal="center" vertical="center"/>
    </xf>
    <xf numFmtId="1" fontId="3" fillId="0" borderId="59" xfId="0" applyNumberFormat="1" applyFont="1" applyFill="1" applyBorder="1" applyAlignment="1" applyProtection="1">
      <alignment horizontal="center" vertical="center"/>
      <protection locked="0" hidden="1"/>
    </xf>
    <xf numFmtId="165" fontId="3" fillId="0" borderId="6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textRotation="90" wrapText="1"/>
    </xf>
    <xf numFmtId="1" fontId="3" fillId="0" borderId="61" xfId="0" applyNumberFormat="1" applyFont="1" applyFill="1" applyBorder="1" applyAlignment="1" applyProtection="1">
      <alignment horizontal="center" vertical="center"/>
    </xf>
    <xf numFmtId="165" fontId="3" fillId="0" borderId="28" xfId="0" applyNumberFormat="1" applyFont="1" applyFill="1" applyBorder="1" applyAlignment="1" applyProtection="1">
      <alignment horizontal="center" vertical="center"/>
    </xf>
    <xf numFmtId="1" fontId="3" fillId="0" borderId="69" xfId="0" applyNumberFormat="1" applyFont="1" applyFill="1" applyBorder="1" applyAlignment="1" applyProtection="1">
      <alignment horizontal="center" vertical="center"/>
    </xf>
    <xf numFmtId="0" fontId="3" fillId="0" borderId="35" xfId="0" quotePrefix="1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165" fontId="3" fillId="0" borderId="74" xfId="0" applyNumberFormat="1" applyFont="1" applyFill="1" applyBorder="1" applyAlignment="1" applyProtection="1">
      <alignment horizontal="center" vertical="center"/>
    </xf>
    <xf numFmtId="1" fontId="3" fillId="0" borderId="107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28" xfId="0" quotePrefix="1" applyNumberFormat="1" applyFont="1" applyFill="1" applyBorder="1" applyAlignment="1" applyProtection="1">
      <alignment horizontal="center" vertical="center"/>
    </xf>
    <xf numFmtId="1" fontId="3" fillId="0" borderId="79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5" fontId="3" fillId="0" borderId="61" xfId="0" applyNumberFormat="1" applyFont="1" applyFill="1" applyBorder="1" applyAlignment="1" applyProtection="1">
      <alignment horizontal="center" vertical="center"/>
    </xf>
    <xf numFmtId="0" fontId="3" fillId="0" borderId="116" xfId="0" applyNumberFormat="1" applyFont="1" applyFill="1" applyBorder="1" applyAlignment="1" applyProtection="1">
      <alignment horizontal="center"/>
      <protection locked="0" hidden="1"/>
    </xf>
    <xf numFmtId="165" fontId="4" fillId="0" borderId="21" xfId="0" applyNumberFormat="1" applyFont="1" applyFill="1" applyBorder="1" applyAlignment="1">
      <alignment horizontal="center" vertical="center"/>
    </xf>
    <xf numFmtId="165" fontId="4" fillId="0" borderId="74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 applyProtection="1">
      <alignment horizontal="center" vertical="center"/>
      <protection hidden="1"/>
    </xf>
    <xf numFmtId="165" fontId="4" fillId="0" borderId="74" xfId="0" applyNumberFormat="1" applyFont="1" applyFill="1" applyBorder="1" applyAlignment="1" applyProtection="1">
      <alignment horizontal="center" vertical="center"/>
      <protection hidden="1"/>
    </xf>
    <xf numFmtId="165" fontId="4" fillId="0" borderId="74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62" xfId="0" applyNumberFormat="1" applyFont="1" applyFill="1" applyBorder="1" applyAlignment="1">
      <alignment horizontal="center" vertical="center"/>
    </xf>
    <xf numFmtId="165" fontId="4" fillId="0" borderId="84" xfId="0" applyNumberFormat="1" applyFont="1" applyFill="1" applyBorder="1" applyAlignment="1">
      <alignment horizontal="center" vertical="center"/>
    </xf>
    <xf numFmtId="165" fontId="4" fillId="0" borderId="85" xfId="0" applyNumberFormat="1" applyFont="1" applyFill="1" applyBorder="1" applyAlignment="1" applyProtection="1">
      <alignment horizontal="center" vertical="center"/>
      <protection hidden="1"/>
    </xf>
    <xf numFmtId="165" fontId="4" fillId="0" borderId="84" xfId="0" applyNumberFormat="1" applyFont="1" applyFill="1" applyBorder="1" applyAlignment="1" applyProtection="1">
      <alignment horizontal="center" vertical="center"/>
      <protection hidden="1"/>
    </xf>
    <xf numFmtId="165" fontId="4" fillId="0" borderId="84" xfId="0" quotePrefix="1" applyNumberFormat="1" applyFont="1" applyFill="1" applyBorder="1" applyAlignment="1" applyProtection="1">
      <alignment horizontal="center" vertical="center"/>
      <protection hidden="1"/>
    </xf>
    <xf numFmtId="165" fontId="4" fillId="0" borderId="59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 applyProtection="1">
      <alignment horizontal="center" vertical="center"/>
      <protection hidden="1"/>
    </xf>
    <xf numFmtId="165" fontId="4" fillId="0" borderId="59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6" xfId="0" applyNumberFormat="1" applyFont="1" applyFill="1" applyBorder="1" applyAlignment="1" applyProtection="1">
      <alignment horizontal="center" vertical="center"/>
    </xf>
    <xf numFmtId="165" fontId="3" fillId="0" borderId="13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13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4" xfId="0" quotePrefix="1" applyNumberFormat="1" applyFont="1" applyFill="1" applyBorder="1" applyAlignment="1" applyProtection="1">
      <alignment horizontal="center" vertical="center"/>
      <protection locked="0" hidden="1"/>
    </xf>
    <xf numFmtId="165" fontId="3" fillId="0" borderId="6" xfId="0" quotePrefix="1" applyNumberFormat="1" applyFont="1" applyFill="1" applyBorder="1" applyAlignment="1" applyProtection="1">
      <alignment horizontal="center" vertical="center"/>
      <protection locked="0" hidden="1"/>
    </xf>
    <xf numFmtId="165" fontId="11" fillId="0" borderId="0" xfId="0" applyNumberFormat="1" applyFont="1" applyFill="1" applyBorder="1" applyAlignment="1">
      <alignment vertical="center"/>
    </xf>
    <xf numFmtId="16" fontId="45" fillId="0" borderId="0" xfId="1585" applyNumberFormat="1" applyFont="1" applyFill="1" applyBorder="1" applyAlignment="1">
      <alignment horizontal="center"/>
    </xf>
    <xf numFmtId="0" fontId="45" fillId="0" borderId="0" xfId="0" applyFont="1" applyFill="1" applyBorder="1"/>
    <xf numFmtId="0" fontId="45" fillId="0" borderId="0" xfId="0" applyFont="1" applyFill="1" applyBorder="1" applyAlignment="1">
      <alignment vertical="center"/>
    </xf>
    <xf numFmtId="165" fontId="45" fillId="0" borderId="0" xfId="0" applyNumberFormat="1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167" fontId="45" fillId="0" borderId="0" xfId="0" applyNumberFormat="1" applyFont="1" applyFill="1" applyBorder="1" applyAlignment="1">
      <alignment vertical="center"/>
    </xf>
    <xf numFmtId="166" fontId="45" fillId="0" borderId="0" xfId="0" applyNumberFormat="1" applyFont="1" applyFill="1" applyBorder="1" applyAlignment="1">
      <alignment vertical="center"/>
    </xf>
    <xf numFmtId="165" fontId="45" fillId="0" borderId="0" xfId="0" applyNumberFormat="1" applyFont="1" applyFill="1" applyBorder="1" applyAlignment="1">
      <alignment horizontal="center" vertical="center"/>
    </xf>
    <xf numFmtId="165" fontId="45" fillId="0" borderId="0" xfId="0" applyNumberFormat="1" applyFont="1" applyFill="1" applyBorder="1"/>
    <xf numFmtId="0" fontId="0" fillId="0" borderId="0" xfId="0" applyFill="1" applyAlignment="1">
      <alignment horizontal="left"/>
    </xf>
    <xf numFmtId="16" fontId="3" fillId="0" borderId="0" xfId="1728" applyNumberFormat="1" applyFont="1" applyFill="1" applyBorder="1" applyAlignment="1">
      <alignment horizontal="center"/>
    </xf>
    <xf numFmtId="16" fontId="3" fillId="0" borderId="0" xfId="1585" applyNumberFormat="1" applyFont="1" applyFill="1" applyBorder="1" applyAlignment="1">
      <alignment horizontal="center"/>
    </xf>
    <xf numFmtId="165" fontId="45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vertical="top"/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0" fillId="0" borderId="28" xfId="0" applyFill="1" applyBorder="1"/>
    <xf numFmtId="0" fontId="0" fillId="0" borderId="29" xfId="0" applyFill="1" applyBorder="1"/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37" xfId="1540" applyFont="1" applyFill="1" applyBorder="1" applyProtection="1"/>
    <xf numFmtId="0" fontId="3" fillId="0" borderId="21" xfId="1540" quotePrefix="1" applyNumberFormat="1" applyFont="1" applyFill="1" applyBorder="1" applyAlignment="1" applyProtection="1">
      <alignment horizontal="center"/>
      <protection hidden="1"/>
    </xf>
    <xf numFmtId="0" fontId="3" fillId="0" borderId="6" xfId="1540" applyNumberFormat="1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Protection="1">
      <protection hidden="1"/>
    </xf>
    <xf numFmtId="0" fontId="8" fillId="0" borderId="8" xfId="0" applyNumberFormat="1" applyFont="1" applyFill="1" applyBorder="1" applyAlignment="1" applyProtection="1">
      <alignment horizontal="center"/>
      <protection hidden="1"/>
    </xf>
    <xf numFmtId="0" fontId="10" fillId="0" borderId="11" xfId="0" applyFont="1" applyFill="1" applyBorder="1" applyAlignment="1" applyProtection="1">
      <protection hidden="1"/>
    </xf>
    <xf numFmtId="0" fontId="3" fillId="0" borderId="37" xfId="1540" applyFont="1" applyFill="1" applyBorder="1" applyAlignment="1" applyProtection="1">
      <alignment vertical="center"/>
    </xf>
    <xf numFmtId="1" fontId="3" fillId="0" borderId="128" xfId="0" applyNumberFormat="1" applyFont="1" applyFill="1" applyBorder="1" applyAlignment="1" applyProtection="1">
      <alignment horizontal="center" vertical="center"/>
      <protection hidden="1"/>
    </xf>
    <xf numFmtId="1" fontId="3" fillId="0" borderId="31" xfId="0" applyNumberFormat="1" applyFont="1" applyFill="1" applyBorder="1" applyAlignment="1" applyProtection="1">
      <alignment horizontal="center" vertical="center"/>
      <protection hidden="1"/>
    </xf>
    <xf numFmtId="165" fontId="3" fillId="0" borderId="94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26" xfId="0" applyFont="1" applyFill="1" applyBorder="1" applyAlignment="1" applyProtection="1">
      <alignment horizontal="center" vertical="center"/>
      <protection locked="0" hidden="1"/>
    </xf>
    <xf numFmtId="165" fontId="3" fillId="0" borderId="99" xfId="0" applyNumberFormat="1" applyFont="1" applyFill="1" applyBorder="1" applyAlignment="1" applyProtection="1">
      <alignment horizontal="center" vertical="center"/>
    </xf>
    <xf numFmtId="164" fontId="3" fillId="0" borderId="73" xfId="0" applyNumberFormat="1" applyFont="1" applyFill="1" applyBorder="1" applyAlignment="1" applyProtection="1">
      <alignment horizontal="center" vertical="center"/>
      <protection hidden="1"/>
    </xf>
    <xf numFmtId="0" fontId="3" fillId="0" borderId="54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1" xfId="0" applyNumberFormat="1" applyFont="1" applyFill="1" applyBorder="1" applyAlignment="1" applyProtection="1">
      <alignment horizontal="center" vertical="center"/>
      <protection hidden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7" xfId="0" quotePrefix="1" applyNumberFormat="1" applyFont="1" applyFill="1" applyBorder="1" applyAlignment="1" applyProtection="1">
      <alignment horizontal="center" vertical="center"/>
    </xf>
    <xf numFmtId="0" fontId="1" fillId="0" borderId="36" xfId="0" quotePrefix="1" applyNumberFormat="1" applyFont="1" applyFill="1" applyBorder="1" applyAlignment="1" applyProtection="1">
      <alignment horizontal="center" vertical="center"/>
    </xf>
    <xf numFmtId="165" fontId="3" fillId="0" borderId="29" xfId="0" quotePrefix="1" applyNumberFormat="1" applyFont="1" applyFill="1" applyBorder="1" applyAlignment="1" applyProtection="1">
      <alignment horizontal="center" vertical="center"/>
      <protection locked="0" hidden="1"/>
    </xf>
    <xf numFmtId="0" fontId="1" fillId="0" borderId="17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Protection="1">
      <protection hidden="1"/>
    </xf>
    <xf numFmtId="1" fontId="1" fillId="0" borderId="46" xfId="0" applyNumberFormat="1" applyFont="1" applyFill="1" applyBorder="1" applyProtection="1"/>
    <xf numFmtId="1" fontId="1" fillId="0" borderId="45" xfId="0" applyNumberFormat="1" applyFont="1" applyFill="1" applyBorder="1" applyProtection="1"/>
    <xf numFmtId="1" fontId="1" fillId="0" borderId="37" xfId="0" applyNumberFormat="1" applyFont="1" applyFill="1" applyBorder="1" applyProtection="1"/>
    <xf numFmtId="1" fontId="1" fillId="0" borderId="51" xfId="0" applyNumberFormat="1" applyFont="1" applyFill="1" applyBorder="1" applyProtection="1">
      <protection hidden="1"/>
    </xf>
    <xf numFmtId="1" fontId="1" fillId="0" borderId="37" xfId="0" applyNumberFormat="1" applyFont="1" applyFill="1" applyBorder="1" applyProtection="1">
      <protection hidden="1"/>
    </xf>
    <xf numFmtId="1" fontId="1" fillId="0" borderId="14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vertical="center"/>
    </xf>
    <xf numFmtId="1" fontId="1" fillId="0" borderId="45" xfId="0" applyNumberFormat="1" applyFont="1" applyFill="1" applyBorder="1" applyAlignment="1" applyProtection="1">
      <alignment vertical="center"/>
    </xf>
    <xf numFmtId="1" fontId="1" fillId="0" borderId="37" xfId="0" applyNumberFormat="1" applyFont="1" applyFill="1" applyBorder="1" applyAlignment="1" applyProtection="1">
      <alignment vertical="center"/>
    </xf>
    <xf numFmtId="1" fontId="1" fillId="0" borderId="37" xfId="0" applyNumberFormat="1" applyFont="1" applyFill="1" applyBorder="1" applyAlignment="1" applyProtection="1">
      <alignment vertical="center"/>
      <protection hidden="1"/>
    </xf>
    <xf numFmtId="1" fontId="1" fillId="0" borderId="111" xfId="0" applyNumberFormat="1" applyFont="1" applyFill="1" applyBorder="1" applyAlignment="1" applyProtection="1">
      <alignment vertical="center"/>
    </xf>
    <xf numFmtId="165" fontId="1" fillId="0" borderId="74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Fill="1" applyBorder="1" applyAlignment="1" applyProtection="1">
      <alignment horizontal="center" vertical="center"/>
      <protection hidden="1"/>
    </xf>
    <xf numFmtId="1" fontId="1" fillId="0" borderId="22" xfId="0" applyNumberFormat="1" applyFont="1" applyFill="1" applyBorder="1" applyAlignment="1" applyProtection="1">
      <alignment vertical="center"/>
      <protection locked="0" hidden="1"/>
    </xf>
    <xf numFmtId="1" fontId="1" fillId="0" borderId="21" xfId="0" applyNumberFormat="1" applyFont="1" applyFill="1" applyBorder="1" applyAlignment="1" applyProtection="1">
      <alignment vertical="center"/>
      <protection locked="0" hidden="1"/>
    </xf>
    <xf numFmtId="1" fontId="1" fillId="0" borderId="19" xfId="0" applyNumberFormat="1" applyFont="1" applyFill="1" applyBorder="1" applyAlignment="1" applyProtection="1">
      <alignment vertical="center"/>
      <protection hidden="1"/>
    </xf>
    <xf numFmtId="1" fontId="1" fillId="0" borderId="33" xfId="0" applyNumberFormat="1" applyFont="1" applyFill="1" applyBorder="1" applyAlignment="1" applyProtection="1">
      <alignment vertical="center"/>
    </xf>
    <xf numFmtId="1" fontId="1" fillId="0" borderId="22" xfId="0" applyNumberFormat="1" applyFont="1" applyFill="1" applyBorder="1" applyAlignment="1" applyProtection="1">
      <alignment vertical="center"/>
    </xf>
    <xf numFmtId="1" fontId="1" fillId="0" borderId="33" xfId="0" applyNumberFormat="1" applyFont="1" applyFill="1" applyBorder="1" applyAlignment="1" applyProtection="1">
      <alignment vertical="center"/>
      <protection locked="0" hidden="1"/>
    </xf>
    <xf numFmtId="0" fontId="1" fillId="0" borderId="23" xfId="0" applyNumberFormat="1" applyFont="1" applyFill="1" applyBorder="1" applyAlignment="1" applyProtection="1">
      <alignment horizontal="center" textRotation="90"/>
      <protection hidden="1"/>
    </xf>
    <xf numFmtId="165" fontId="3" fillId="0" borderId="77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14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6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74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13" xfId="0" quotePrefix="1" applyNumberFormat="1" applyFont="1" applyFill="1" applyBorder="1" applyAlignment="1" applyProtection="1">
      <alignment horizontal="center" vertical="center"/>
      <protection hidden="1"/>
    </xf>
    <xf numFmtId="1" fontId="1" fillId="0" borderId="45" xfId="0" applyNumberFormat="1" applyFont="1" applyFill="1" applyBorder="1" applyAlignment="1" applyProtection="1">
      <alignment vertical="center"/>
      <protection hidden="1"/>
    </xf>
    <xf numFmtId="0" fontId="1" fillId="0" borderId="46" xfId="1540" applyFont="1" applyFill="1" applyBorder="1" applyAlignment="1" applyProtection="1">
      <alignment vertical="center"/>
      <protection hidden="1"/>
    </xf>
    <xf numFmtId="1" fontId="1" fillId="0" borderId="46" xfId="0" applyNumberFormat="1" applyFont="1" applyFill="1" applyBorder="1" applyAlignment="1" applyProtection="1">
      <alignment vertical="center"/>
      <protection hidden="1"/>
    </xf>
    <xf numFmtId="169" fontId="0" fillId="0" borderId="0" xfId="0" applyNumberFormat="1" applyFill="1"/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1" fontId="1" fillId="0" borderId="20" xfId="0" applyNumberFormat="1" applyFont="1" applyFill="1" applyBorder="1" applyAlignment="1" applyProtection="1">
      <alignment vertical="center"/>
      <protection hidden="1"/>
    </xf>
    <xf numFmtId="1" fontId="1" fillId="0" borderId="20" xfId="0" applyNumberFormat="1" applyFont="1" applyFill="1" applyBorder="1" applyAlignment="1" applyProtection="1">
      <alignment vertical="center"/>
      <protection locked="0" hidden="1"/>
    </xf>
    <xf numFmtId="1" fontId="1" fillId="0" borderId="62" xfId="0" applyNumberFormat="1" applyFont="1" applyFill="1" applyBorder="1" applyAlignment="1" applyProtection="1">
      <alignment vertical="center"/>
    </xf>
    <xf numFmtId="1" fontId="1" fillId="0" borderId="22" xfId="0" quotePrefix="1" applyNumberFormat="1" applyFont="1" applyFill="1" applyBorder="1" applyAlignment="1" applyProtection="1">
      <alignment horizontal="center" vertical="center"/>
      <protection locked="0" hidden="1"/>
    </xf>
    <xf numFmtId="165" fontId="1" fillId="0" borderId="29" xfId="0" applyNumberFormat="1" applyFont="1" applyFill="1" applyBorder="1" applyAlignment="1" applyProtection="1">
      <alignment horizontal="center" vertical="center"/>
      <protection hidden="1"/>
    </xf>
    <xf numFmtId="1" fontId="1" fillId="0" borderId="62" xfId="0" applyNumberFormat="1" applyFont="1" applyFill="1" applyBorder="1" applyAlignment="1" applyProtection="1">
      <alignment vertical="center" wrapText="1"/>
      <protection hidden="1"/>
    </xf>
    <xf numFmtId="1" fontId="1" fillId="0" borderId="21" xfId="0" applyNumberFormat="1" applyFont="1" applyFill="1" applyBorder="1" applyAlignment="1" applyProtection="1">
      <alignment vertical="center" wrapText="1"/>
      <protection hidden="1"/>
    </xf>
    <xf numFmtId="1" fontId="1" fillId="0" borderId="66" xfId="1540" applyNumberFormat="1" applyFont="1" applyFill="1" applyBorder="1" applyAlignment="1" applyProtection="1">
      <alignment vertical="center"/>
      <protection hidden="1"/>
    </xf>
    <xf numFmtId="0" fontId="1" fillId="0" borderId="66" xfId="1540" applyNumberFormat="1" applyFont="1" applyFill="1" applyBorder="1" applyAlignment="1" applyProtection="1">
      <alignment vertical="center"/>
      <protection hidden="1"/>
    </xf>
    <xf numFmtId="0" fontId="1" fillId="0" borderId="66" xfId="1540" applyNumberFormat="1" applyFont="1" applyFill="1" applyBorder="1" applyAlignment="1" applyProtection="1">
      <alignment horizontal="left" vertical="center"/>
      <protection hidden="1"/>
    </xf>
    <xf numFmtId="165" fontId="1" fillId="0" borderId="111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horizontal="center" textRotation="90"/>
      <protection hidden="1"/>
    </xf>
    <xf numFmtId="0" fontId="1" fillId="0" borderId="32" xfId="0" applyNumberFormat="1" applyFont="1" applyFill="1" applyBorder="1" applyAlignment="1" applyProtection="1">
      <alignment horizontal="center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44" xfId="0" applyNumberFormat="1" applyFont="1" applyFill="1" applyBorder="1" applyAlignment="1" applyProtection="1">
      <alignment horizontal="center" vertical="center" wrapText="1"/>
    </xf>
    <xf numFmtId="1" fontId="3" fillId="0" borderId="93" xfId="0" applyNumberFormat="1" applyFont="1" applyFill="1" applyBorder="1" applyAlignment="1" applyProtection="1">
      <alignment horizontal="center" vertical="center"/>
      <protection hidden="1"/>
    </xf>
    <xf numFmtId="1" fontId="3" fillId="0" borderId="134" xfId="0" applyNumberFormat="1" applyFont="1" applyFill="1" applyBorder="1" applyAlignment="1" applyProtection="1">
      <alignment horizontal="center" vertical="center"/>
      <protection hidden="1"/>
    </xf>
    <xf numFmtId="165" fontId="1" fillId="0" borderId="134" xfId="0" applyNumberFormat="1" applyFont="1" applyFill="1" applyBorder="1" applyAlignment="1" applyProtection="1">
      <alignment horizontal="center" vertical="center"/>
      <protection hidden="1"/>
    </xf>
    <xf numFmtId="165" fontId="3" fillId="0" borderId="96" xfId="0" quotePrefix="1" applyNumberFormat="1" applyFont="1" applyFill="1" applyBorder="1" applyAlignment="1" applyProtection="1">
      <alignment horizontal="center" vertical="center" wrapText="1"/>
      <protection hidden="1"/>
    </xf>
    <xf numFmtId="165" fontId="3" fillId="0" borderId="92" xfId="0" quotePrefix="1" applyNumberFormat="1" applyFont="1" applyFill="1" applyBorder="1" applyAlignment="1" applyProtection="1">
      <alignment horizontal="center" vertical="center" wrapText="1"/>
      <protection hidden="1"/>
    </xf>
    <xf numFmtId="165" fontId="3" fillId="0" borderId="94" xfId="0" quotePrefix="1" applyNumberFormat="1" applyFont="1" applyFill="1" applyBorder="1" applyAlignment="1" applyProtection="1">
      <alignment horizontal="center" vertical="center" wrapText="1"/>
      <protection hidden="1"/>
    </xf>
    <xf numFmtId="165" fontId="3" fillId="0" borderId="94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97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93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134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54" xfId="0" applyNumberFormat="1" applyFont="1" applyFill="1" applyBorder="1" applyAlignment="1" applyProtection="1">
      <alignment horizontal="center" vertical="center"/>
      <protection hidden="1"/>
    </xf>
    <xf numFmtId="0" fontId="3" fillId="0" borderId="97" xfId="0" applyNumberFormat="1" applyFont="1" applyFill="1" applyBorder="1" applyAlignment="1" applyProtection="1">
      <alignment horizontal="center" vertical="center"/>
      <protection hidden="1"/>
    </xf>
    <xf numFmtId="0" fontId="3" fillId="0" borderId="93" xfId="0" applyNumberFormat="1" applyFont="1" applyFill="1" applyBorder="1" applyAlignment="1" applyProtection="1">
      <alignment horizontal="center" vertical="center"/>
      <protection hidden="1"/>
    </xf>
    <xf numFmtId="1" fontId="1" fillId="0" borderId="21" xfId="0" applyNumberFormat="1" applyFont="1" applyFill="1" applyBorder="1" applyAlignment="1" applyProtection="1">
      <alignment vertical="center"/>
    </xf>
    <xf numFmtId="165" fontId="1" fillId="0" borderId="14" xfId="0" quotePrefix="1" applyNumberFormat="1" applyFon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vertical="center" wrapText="1"/>
      <protection hidden="1"/>
    </xf>
    <xf numFmtId="1" fontId="1" fillId="0" borderId="46" xfId="0" applyNumberFormat="1" applyFont="1" applyFill="1" applyBorder="1" applyAlignment="1" applyProtection="1">
      <alignment vertical="center"/>
    </xf>
    <xf numFmtId="165" fontId="1" fillId="0" borderId="37" xfId="0" applyNumberFormat="1" applyFont="1" applyFill="1" applyBorder="1" applyAlignment="1" applyProtection="1">
      <alignment vertical="center"/>
    </xf>
    <xf numFmtId="0" fontId="1" fillId="0" borderId="35" xfId="0" quotePrefix="1" applyNumberFormat="1" applyFont="1" applyFill="1" applyBorder="1" applyAlignment="1" applyProtection="1">
      <alignment horizontal="center" vertical="center"/>
    </xf>
    <xf numFmtId="165" fontId="1" fillId="0" borderId="59" xfId="0" quotePrefix="1" applyNumberFormat="1" applyFont="1" applyFill="1" applyBorder="1" applyAlignment="1" applyProtection="1">
      <alignment horizontal="center" vertical="center"/>
    </xf>
    <xf numFmtId="165" fontId="1" fillId="0" borderId="85" xfId="0" quotePrefix="1" applyNumberFormat="1" applyFont="1" applyFill="1" applyBorder="1" applyAlignment="1" applyProtection="1">
      <alignment horizontal="center" vertical="center"/>
    </xf>
    <xf numFmtId="165" fontId="1" fillId="0" borderId="28" xfId="0" quotePrefix="1" applyNumberFormat="1" applyFont="1" applyFill="1" applyBorder="1" applyAlignment="1" applyProtection="1">
      <alignment horizontal="center" vertical="center"/>
    </xf>
    <xf numFmtId="165" fontId="1" fillId="0" borderId="69" xfId="0" quotePrefix="1" applyNumberFormat="1" applyFont="1" applyFill="1" applyBorder="1" applyAlignment="1" applyProtection="1">
      <alignment horizontal="center" vertical="center"/>
    </xf>
    <xf numFmtId="165" fontId="1" fillId="0" borderId="112" xfId="0" quotePrefix="1" applyNumberFormat="1" applyFont="1" applyFill="1" applyBorder="1" applyAlignment="1" applyProtection="1">
      <alignment horizontal="center" vertical="center"/>
    </xf>
    <xf numFmtId="165" fontId="1" fillId="0" borderId="92" xfId="0" quotePrefix="1" applyNumberFormat="1" applyFont="1" applyFill="1" applyBorder="1" applyAlignment="1" applyProtection="1">
      <alignment horizontal="center" vertical="center"/>
    </xf>
    <xf numFmtId="1" fontId="3" fillId="0" borderId="73" xfId="0" applyNumberFormat="1" applyFont="1" applyFill="1" applyBorder="1" applyAlignment="1" applyProtection="1">
      <alignment horizontal="center" vertical="center"/>
      <protection hidden="1"/>
    </xf>
    <xf numFmtId="0" fontId="3" fillId="0" borderId="107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85" xfId="0" applyNumberFormat="1" applyFont="1" applyFill="1" applyBorder="1" applyAlignment="1" applyProtection="1">
      <alignment horizontal="center" vertical="center"/>
    </xf>
    <xf numFmtId="165" fontId="1" fillId="0" borderId="112" xfId="0" applyNumberFormat="1" applyFont="1" applyFill="1" applyBorder="1" applyAlignment="1" applyProtection="1">
      <alignment horizontal="center" vertical="center"/>
    </xf>
    <xf numFmtId="165" fontId="1" fillId="0" borderId="113" xfId="0" applyNumberFormat="1" applyFont="1" applyFill="1" applyBorder="1" applyAlignment="1" applyProtection="1">
      <alignment horizontal="center" vertical="center"/>
    </xf>
    <xf numFmtId="165" fontId="1" fillId="0" borderId="69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/>
    <xf numFmtId="0" fontId="1" fillId="0" borderId="40" xfId="0" applyFont="1" applyFill="1" applyBorder="1" applyAlignment="1">
      <alignment horizontal="center" textRotation="90" wrapText="1"/>
    </xf>
    <xf numFmtId="0" fontId="1" fillId="0" borderId="10" xfId="0" applyNumberFormat="1" applyFont="1" applyFill="1" applyBorder="1" applyAlignment="1" applyProtection="1">
      <alignment horizontal="center" textRotation="90"/>
    </xf>
    <xf numFmtId="0" fontId="1" fillId="0" borderId="9" xfId="0" applyNumberFormat="1" applyFont="1" applyFill="1" applyBorder="1" applyAlignment="1" applyProtection="1">
      <alignment horizontal="center" textRotation="90"/>
    </xf>
    <xf numFmtId="0" fontId="1" fillId="0" borderId="9" xfId="0" applyNumberFormat="1" applyFont="1" applyFill="1" applyBorder="1" applyAlignment="1" applyProtection="1">
      <alignment horizontal="center" textRotation="90" wrapText="1"/>
    </xf>
    <xf numFmtId="0" fontId="1" fillId="0" borderId="27" xfId="0" quotePrefix="1" applyFont="1" applyFill="1" applyBorder="1" applyAlignment="1" applyProtection="1">
      <alignment horizontal="center" vertical="center"/>
      <protection locked="0" hidden="1"/>
    </xf>
    <xf numFmtId="0" fontId="1" fillId="0" borderId="34" xfId="0" quotePrefix="1" applyFont="1" applyFill="1" applyBorder="1" applyAlignment="1" applyProtection="1">
      <alignment horizontal="center" vertical="center"/>
      <protection locked="0" hidden="1"/>
    </xf>
    <xf numFmtId="1" fontId="1" fillId="0" borderId="27" xfId="0" quotePrefix="1" applyNumberFormat="1" applyFont="1" applyFill="1" applyBorder="1" applyAlignment="1" applyProtection="1">
      <alignment horizontal="center" vertical="center"/>
      <protection hidden="1"/>
    </xf>
    <xf numFmtId="164" fontId="1" fillId="0" borderId="17" xfId="0" applyNumberFormat="1" applyFont="1" applyFill="1" applyBorder="1" applyAlignment="1" applyProtection="1">
      <alignment horizontal="center" vertical="center"/>
      <protection hidden="1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0" borderId="20" xfId="0" applyNumberFormat="1" applyFont="1" applyFill="1" applyBorder="1" applyAlignment="1" applyProtection="1">
      <alignment horizontal="center" vertical="center"/>
    </xf>
    <xf numFmtId="1" fontId="1" fillId="0" borderId="13" xfId="0" applyNumberFormat="1" applyFont="1" applyFill="1" applyBorder="1" applyAlignment="1" applyProtection="1">
      <alignment horizontal="center" vertical="center"/>
    </xf>
    <xf numFmtId="1" fontId="1" fillId="0" borderId="61" xfId="0" applyNumberFormat="1" applyFont="1" applyFill="1" applyBorder="1" applyAlignment="1" applyProtection="1">
      <alignment horizontal="center" vertical="center"/>
    </xf>
    <xf numFmtId="165" fontId="1" fillId="0" borderId="45" xfId="0" applyNumberFormat="1" applyFont="1" applyFill="1" applyBorder="1" applyAlignment="1" applyProtection="1">
      <alignment vertical="center"/>
    </xf>
    <xf numFmtId="165" fontId="1" fillId="0" borderId="37" xfId="0" applyNumberFormat="1" applyFont="1" applyFill="1" applyBorder="1" applyAlignment="1" applyProtection="1">
      <alignment horizontal="center" vertical="center"/>
    </xf>
    <xf numFmtId="165" fontId="1" fillId="0" borderId="22" xfId="0" applyNumberFormat="1" applyFont="1" applyFill="1" applyBorder="1" applyAlignment="1" applyProtection="1">
      <alignment horizontal="center" vertical="center"/>
    </xf>
    <xf numFmtId="165" fontId="1" fillId="0" borderId="28" xfId="0" applyNumberFormat="1" applyFont="1" applyFill="1" applyBorder="1" applyAlignment="1" applyProtection="1">
      <alignment horizontal="center" vertical="center"/>
    </xf>
    <xf numFmtId="165" fontId="1" fillId="0" borderId="14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Fill="1" applyBorder="1" applyAlignment="1" applyProtection="1">
      <alignment horizontal="center" vertical="center"/>
      <protection hidden="1"/>
    </xf>
    <xf numFmtId="1" fontId="1" fillId="0" borderId="21" xfId="0" applyNumberFormat="1" applyFont="1" applyFill="1" applyBorder="1" applyAlignment="1" applyProtection="1">
      <alignment horizontal="center" vertical="center"/>
      <protection hidden="1"/>
    </xf>
    <xf numFmtId="1" fontId="1" fillId="0" borderId="29" xfId="0" applyNumberFormat="1" applyFont="1" applyFill="1" applyBorder="1" applyAlignment="1" applyProtection="1">
      <alignment horizontal="center" vertical="center"/>
      <protection hidden="1"/>
    </xf>
    <xf numFmtId="1" fontId="1" fillId="0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21" xfId="0" quotePrefix="1" applyNumberFormat="1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vertical="center"/>
    </xf>
    <xf numFmtId="0" fontId="1" fillId="0" borderId="78" xfId="0" applyFont="1" applyFill="1" applyBorder="1" applyAlignment="1" applyProtection="1">
      <alignment horizontal="center" vertical="center"/>
    </xf>
    <xf numFmtId="1" fontId="1" fillId="0" borderId="45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0" borderId="28" xfId="0" applyNumberFormat="1" applyFon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1" fontId="1" fillId="0" borderId="29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1" fontId="1" fillId="0" borderId="37" xfId="0" applyNumberFormat="1" applyFont="1" applyFill="1" applyBorder="1" applyAlignment="1" applyProtection="1">
      <alignment horizontal="center" vertical="center"/>
      <protection hidden="1"/>
    </xf>
    <xf numFmtId="1" fontId="1" fillId="0" borderId="19" xfId="0" quotePrefix="1" applyNumberFormat="1" applyFont="1" applyFill="1" applyBorder="1" applyAlignment="1" applyProtection="1">
      <alignment horizontal="center" vertical="center"/>
    </xf>
    <xf numFmtId="1" fontId="1" fillId="0" borderId="74" xfId="0" applyNumberFormat="1" applyFont="1" applyFill="1" applyBorder="1" applyAlignment="1" applyProtection="1">
      <alignment horizontal="center" vertical="center"/>
    </xf>
    <xf numFmtId="1" fontId="1" fillId="0" borderId="0" xfId="0" quotePrefix="1" applyNumberFormat="1" applyFont="1" applyFill="1" applyBorder="1" applyAlignment="1" applyProtection="1">
      <alignment horizontal="center" vertical="center"/>
    </xf>
    <xf numFmtId="1" fontId="1" fillId="0" borderId="85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1" fontId="1" fillId="0" borderId="27" xfId="0" applyNumberFormat="1" applyFont="1" applyFill="1" applyBorder="1" applyAlignment="1" applyProtection="1">
      <alignment horizontal="center" vertical="center"/>
    </xf>
    <xf numFmtId="1" fontId="1" fillId="0" borderId="34" xfId="0" applyNumberFormat="1" applyFont="1" applyFill="1" applyBorder="1" applyAlignment="1" applyProtection="1">
      <alignment horizontal="center" vertical="center"/>
    </xf>
    <xf numFmtId="165" fontId="1" fillId="0" borderId="45" xfId="0" applyNumberFormat="1" applyFont="1" applyFill="1" applyBorder="1" applyAlignment="1" applyProtection="1">
      <alignment horizontal="center" vertical="center"/>
    </xf>
    <xf numFmtId="165" fontId="1" fillId="0" borderId="45" xfId="0" applyNumberFormat="1" applyFont="1" applyFill="1" applyBorder="1" applyAlignment="1" applyProtection="1">
      <alignment horizontal="left" vertical="center"/>
    </xf>
    <xf numFmtId="1" fontId="1" fillId="0" borderId="111" xfId="0" applyNumberFormat="1" applyFont="1" applyFill="1" applyBorder="1" applyAlignment="1" applyProtection="1">
      <alignment horizontal="center" vertical="center"/>
    </xf>
    <xf numFmtId="1" fontId="1" fillId="0" borderId="62" xfId="0" applyNumberFormat="1" applyFont="1" applyFill="1" applyBorder="1" applyAlignment="1" applyProtection="1">
      <alignment horizontal="center" vertical="center"/>
    </xf>
    <xf numFmtId="165" fontId="1" fillId="0" borderId="62" xfId="0" applyNumberFormat="1" applyFont="1" applyFill="1" applyBorder="1" applyAlignment="1" applyProtection="1">
      <alignment horizontal="center" vertical="center"/>
    </xf>
    <xf numFmtId="1" fontId="1" fillId="0" borderId="14" xfId="0" quotePrefix="1" applyNumberFormat="1" applyFont="1" applyFill="1" applyBorder="1" applyAlignment="1" applyProtection="1">
      <alignment horizontal="center" vertical="center"/>
    </xf>
    <xf numFmtId="165" fontId="1" fillId="0" borderId="45" xfId="0" quotePrefix="1" applyNumberFormat="1" applyFont="1" applyFill="1" applyBorder="1" applyAlignment="1" applyProtection="1">
      <alignment horizontal="center" vertical="center"/>
    </xf>
    <xf numFmtId="165" fontId="1" fillId="0" borderId="22" xfId="0" quotePrefix="1" applyNumberFormat="1" applyFont="1" applyFill="1" applyBorder="1" applyAlignment="1" applyProtection="1">
      <alignment horizontal="center" vertical="center"/>
    </xf>
    <xf numFmtId="0" fontId="1" fillId="0" borderId="111" xfId="0" applyFont="1" applyFill="1" applyBorder="1" applyAlignment="1" applyProtection="1">
      <alignment vertical="center"/>
    </xf>
    <xf numFmtId="165" fontId="1" fillId="0" borderId="111" xfId="0" applyNumberFormat="1" applyFont="1" applyFill="1" applyBorder="1" applyAlignment="1" applyProtection="1">
      <alignment horizontal="center" vertical="center"/>
    </xf>
    <xf numFmtId="0" fontId="1" fillId="0" borderId="51" xfId="0" applyFont="1" applyFill="1" applyBorder="1" applyAlignment="1" applyProtection="1">
      <alignment vertical="center"/>
    </xf>
    <xf numFmtId="165" fontId="1" fillId="0" borderId="51" xfId="0" quotePrefix="1" applyNumberFormat="1" applyFont="1" applyFill="1" applyBorder="1" applyAlignment="1" applyProtection="1">
      <alignment horizontal="center" vertical="center"/>
    </xf>
    <xf numFmtId="165" fontId="1" fillId="0" borderId="20" xfId="0" quotePrefix="1" applyNumberFormat="1" applyFont="1" applyFill="1" applyBorder="1" applyAlignment="1" applyProtection="1">
      <alignment horizontal="center" vertical="center"/>
    </xf>
    <xf numFmtId="165" fontId="1" fillId="0" borderId="13" xfId="0" applyNumberFormat="1" applyFont="1" applyFill="1" applyBorder="1" applyAlignment="1" applyProtection="1">
      <alignment horizontal="center" vertical="center"/>
    </xf>
    <xf numFmtId="165" fontId="1" fillId="0" borderId="61" xfId="0" quotePrefix="1" applyNumberFormat="1" applyFont="1" applyFill="1" applyBorder="1" applyAlignment="1" applyProtection="1">
      <alignment horizontal="center" vertical="center"/>
    </xf>
    <xf numFmtId="165" fontId="1" fillId="0" borderId="13" xfId="0" quotePrefix="1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vertical="center"/>
    </xf>
    <xf numFmtId="165" fontId="1" fillId="0" borderId="111" xfId="0" quotePrefix="1" applyNumberFormat="1" applyFont="1" applyFill="1" applyBorder="1" applyAlignment="1" applyProtection="1">
      <alignment horizontal="center" vertical="center"/>
    </xf>
    <xf numFmtId="165" fontId="1" fillId="0" borderId="62" xfId="0" quotePrefix="1" applyNumberFormat="1" applyFont="1" applyFill="1" applyBorder="1" applyAlignment="1" applyProtection="1">
      <alignment horizontal="center" vertical="center"/>
    </xf>
    <xf numFmtId="0" fontId="1" fillId="0" borderId="49" xfId="0" applyFont="1" applyFill="1" applyBorder="1" applyProtection="1"/>
    <xf numFmtId="0" fontId="1" fillId="0" borderId="49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34" xfId="0" quotePrefix="1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4" xfId="0" applyNumberFormat="1" applyFont="1" applyFill="1" applyBorder="1" applyAlignment="1" applyProtection="1">
      <alignment horizontal="center"/>
    </xf>
    <xf numFmtId="0" fontId="1" fillId="0" borderId="36" xfId="0" quotePrefix="1" applyFont="1" applyFill="1" applyBorder="1" applyAlignment="1" applyProtection="1">
      <alignment horizontal="center" vertical="center"/>
    </xf>
    <xf numFmtId="0" fontId="1" fillId="0" borderId="27" xfId="0" quotePrefix="1" applyFont="1" applyFill="1" applyBorder="1" applyAlignment="1" applyProtection="1">
      <alignment horizontal="center" vertical="center"/>
    </xf>
    <xf numFmtId="0" fontId="1" fillId="0" borderId="34" xfId="0" quotePrefix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</xf>
    <xf numFmtId="0" fontId="1" fillId="0" borderId="51" xfId="0" applyFont="1" applyFill="1" applyBorder="1" applyProtection="1"/>
    <xf numFmtId="0" fontId="1" fillId="0" borderId="51" xfId="0" quotePrefix="1" applyFont="1" applyFill="1" applyBorder="1" applyAlignment="1" applyProtection="1">
      <alignment horizontal="center"/>
    </xf>
    <xf numFmtId="0" fontId="1" fillId="0" borderId="20" xfId="0" quotePrefix="1" applyFont="1" applyFill="1" applyBorder="1" applyAlignment="1" applyProtection="1">
      <alignment horizontal="center"/>
    </xf>
    <xf numFmtId="0" fontId="1" fillId="0" borderId="13" xfId="0" quotePrefix="1" applyNumberFormat="1" applyFont="1" applyFill="1" applyBorder="1" applyAlignment="1" applyProtection="1">
      <alignment horizontal="center"/>
    </xf>
    <xf numFmtId="0" fontId="1" fillId="0" borderId="61" xfId="0" quotePrefix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45" xfId="0" applyFont="1" applyFill="1" applyBorder="1" applyProtection="1"/>
    <xf numFmtId="0" fontId="1" fillId="0" borderId="45" xfId="0" quotePrefix="1" applyFont="1" applyFill="1" applyBorder="1" applyAlignment="1" applyProtection="1">
      <alignment horizontal="center"/>
    </xf>
    <xf numFmtId="0" fontId="1" fillId="0" borderId="22" xfId="0" quotePrefix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28" xfId="0" quotePrefix="1" applyFont="1" applyFill="1" applyBorder="1" applyAlignment="1" applyProtection="1">
      <alignment horizontal="center"/>
    </xf>
    <xf numFmtId="0" fontId="1" fillId="0" borderId="37" xfId="0" applyFont="1" applyFill="1" applyBorder="1" applyProtection="1"/>
    <xf numFmtId="0" fontId="1" fillId="0" borderId="37" xfId="0" quotePrefix="1" applyFont="1" applyFill="1" applyBorder="1" applyAlignment="1" applyProtection="1">
      <alignment horizontal="center"/>
    </xf>
    <xf numFmtId="0" fontId="1" fillId="0" borderId="21" xfId="0" quotePrefix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29" xfId="0" quotePrefix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center"/>
      <protection hidden="1"/>
    </xf>
    <xf numFmtId="1" fontId="3" fillId="0" borderId="13" xfId="0" quotePrefix="1" applyNumberFormat="1" applyFont="1" applyFill="1" applyBorder="1" applyAlignment="1" applyProtection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1" fontId="1" fillId="0" borderId="69" xfId="0" applyNumberFormat="1" applyFont="1" applyFill="1" applyBorder="1" applyAlignment="1" applyProtection="1">
      <alignment horizontal="center" vertical="center"/>
    </xf>
    <xf numFmtId="165" fontId="1" fillId="0" borderId="84" xfId="0" applyNumberFormat="1" applyFont="1" applyFill="1" applyBorder="1" applyAlignment="1" applyProtection="1">
      <alignment horizontal="center" vertical="center"/>
    </xf>
    <xf numFmtId="1" fontId="3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31" xfId="0" applyNumberFormat="1" applyFont="1" applyFill="1" applyBorder="1" applyAlignment="1" applyProtection="1">
      <alignment horizontal="center" textRotation="90" shrinkToFit="1"/>
      <protection hidden="1"/>
    </xf>
    <xf numFmtId="0" fontId="1" fillId="0" borderId="132" xfId="0" applyNumberFormat="1" applyFont="1" applyFill="1" applyBorder="1" applyAlignment="1" applyProtection="1">
      <alignment horizontal="center" textRotation="90" shrinkToFit="1"/>
      <protection hidden="1"/>
    </xf>
    <xf numFmtId="0" fontId="1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textRotation="90"/>
      <protection hidden="1"/>
    </xf>
    <xf numFmtId="0" fontId="1" fillId="0" borderId="40" xfId="0" applyNumberFormat="1" applyFont="1" applyFill="1" applyBorder="1" applyAlignment="1" applyProtection="1">
      <alignment horizontal="center" textRotation="90"/>
      <protection hidden="1"/>
    </xf>
    <xf numFmtId="0" fontId="1" fillId="0" borderId="137" xfId="0" applyNumberFormat="1" applyFont="1" applyFill="1" applyBorder="1" applyAlignment="1" applyProtection="1">
      <alignment horizontal="center" textRotation="90"/>
      <protection hidden="1"/>
    </xf>
    <xf numFmtId="0" fontId="1" fillId="0" borderId="116" xfId="0" applyNumberFormat="1" applyFont="1" applyFill="1" applyBorder="1" applyAlignment="1" applyProtection="1">
      <alignment horizontal="center" textRotation="90"/>
      <protection hidden="1"/>
    </xf>
    <xf numFmtId="0" fontId="1" fillId="0" borderId="38" xfId="0" applyNumberFormat="1" applyFont="1" applyFill="1" applyBorder="1" applyAlignment="1" applyProtection="1">
      <alignment horizontal="center" vertical="center"/>
      <protection hidden="1"/>
    </xf>
    <xf numFmtId="0" fontId="1" fillId="0" borderId="31" xfId="0" applyNumberFormat="1" applyFont="1" applyFill="1" applyBorder="1" applyAlignment="1" applyProtection="1">
      <alignment horizontal="center" vertical="center"/>
      <protection hidden="1"/>
    </xf>
    <xf numFmtId="0" fontId="1" fillId="0" borderId="117" xfId="0" applyNumberFormat="1" applyFont="1" applyFill="1" applyBorder="1" applyAlignment="1" applyProtection="1">
      <alignment horizontal="center" vertical="center"/>
      <protection hidden="1"/>
    </xf>
    <xf numFmtId="0" fontId="1" fillId="0" borderId="127" xfId="0" applyNumberFormat="1" applyFont="1" applyFill="1" applyBorder="1" applyAlignment="1" applyProtection="1">
      <alignment horizontal="center" vertical="center"/>
      <protection hidden="1"/>
    </xf>
    <xf numFmtId="0" fontId="1" fillId="0" borderId="34" xfId="0" applyNumberFormat="1" applyFont="1" applyFill="1" applyBorder="1" applyAlignment="1" applyProtection="1">
      <alignment horizontal="center"/>
      <protection hidden="1"/>
    </xf>
    <xf numFmtId="0" fontId="1" fillId="0" borderId="17" xfId="0" applyNumberFormat="1" applyFont="1" applyFill="1" applyBorder="1" applyAlignment="1" applyProtection="1">
      <alignment horizontal="center"/>
      <protection hidden="1"/>
    </xf>
    <xf numFmtId="0" fontId="1" fillId="0" borderId="118" xfId="0" applyNumberFormat="1" applyFont="1" applyFill="1" applyBorder="1" applyAlignment="1" applyProtection="1">
      <alignment horizontal="center"/>
      <protection hidden="1"/>
    </xf>
    <xf numFmtId="0" fontId="1" fillId="0" borderId="129" xfId="0" applyNumberFormat="1" applyFont="1" applyFill="1" applyBorder="1" applyAlignment="1" applyProtection="1">
      <alignment horizontal="center" textRotation="90"/>
      <protection hidden="1"/>
    </xf>
    <xf numFmtId="0" fontId="1" fillId="0" borderId="42" xfId="0" applyNumberFormat="1" applyFont="1" applyFill="1" applyBorder="1" applyAlignment="1" applyProtection="1">
      <alignment horizontal="center" vertical="center" wrapText="1"/>
    </xf>
    <xf numFmtId="0" fontId="1" fillId="0" borderId="35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60" xfId="0" quotePrefix="1" applyNumberFormat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165" fontId="4" fillId="0" borderId="17" xfId="0" applyNumberFormat="1" applyFont="1" applyFill="1" applyBorder="1" applyAlignment="1" applyProtection="1">
      <alignment horizontal="center" vertical="center"/>
    </xf>
    <xf numFmtId="165" fontId="3" fillId="0" borderId="17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1" fillId="0" borderId="130" xfId="0" applyNumberFormat="1" applyFont="1" applyFill="1" applyBorder="1" applyAlignment="1" applyProtection="1">
      <alignment horizontal="center" textRotation="90" wrapText="1"/>
    </xf>
    <xf numFmtId="0" fontId="1" fillId="0" borderId="35" xfId="0" applyNumberFormat="1" applyFont="1" applyFill="1" applyBorder="1" applyAlignment="1" applyProtection="1">
      <alignment horizontal="center" vertical="center" wrapText="1"/>
    </xf>
    <xf numFmtId="164" fontId="1" fillId="0" borderId="35" xfId="0" applyNumberFormat="1" applyFont="1" applyFill="1" applyBorder="1" applyAlignment="1" applyProtection="1">
      <alignment horizontal="center" vertical="center"/>
      <protection hidden="1"/>
    </xf>
    <xf numFmtId="16" fontId="29" fillId="0" borderId="0" xfId="0" applyNumberFormat="1" applyFont="1" applyBorder="1" applyAlignment="1">
      <alignment horizontal="center" vertical="center"/>
    </xf>
    <xf numFmtId="16" fontId="29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horizontal="center"/>
    </xf>
    <xf numFmtId="0" fontId="0" fillId="0" borderId="0" xfId="0" quotePrefix="1" applyFill="1" applyBorder="1"/>
    <xf numFmtId="0" fontId="1" fillId="0" borderId="46" xfId="0" applyFont="1" applyFill="1" applyBorder="1" applyAlignment="1" applyProtection="1">
      <alignment vertical="center"/>
      <protection hidden="1"/>
    </xf>
    <xf numFmtId="1" fontId="3" fillId="0" borderId="145" xfId="0" applyNumberFormat="1" applyFont="1" applyFill="1" applyBorder="1" applyAlignment="1" applyProtection="1">
      <alignment horizontal="center" vertical="center"/>
      <protection hidden="1"/>
    </xf>
    <xf numFmtId="0" fontId="1" fillId="0" borderId="68" xfId="1540" applyNumberFormat="1" applyFont="1" applyFill="1" applyBorder="1" applyAlignment="1" applyProtection="1">
      <alignment horizontal="left" vertical="center"/>
      <protection hidden="1"/>
    </xf>
    <xf numFmtId="165" fontId="1" fillId="0" borderId="29" xfId="0" quotePrefix="1" applyNumberFormat="1" applyFont="1" applyFill="1" applyBorder="1" applyAlignment="1" applyProtection="1">
      <alignment horizontal="center" vertical="center"/>
    </xf>
    <xf numFmtId="165" fontId="1" fillId="0" borderId="6" xfId="0" quotePrefix="1" applyNumberFormat="1" applyFont="1" applyFill="1" applyBorder="1" applyAlignment="1" applyProtection="1">
      <alignment horizontal="center" vertical="center"/>
    </xf>
    <xf numFmtId="1" fontId="4" fillId="0" borderId="17" xfId="0" applyNumberFormat="1" applyFont="1" applyFill="1" applyBorder="1" applyAlignment="1" applyProtection="1">
      <alignment horizontal="center" vertical="center"/>
    </xf>
    <xf numFmtId="1" fontId="4" fillId="0" borderId="34" xfId="0" applyNumberFormat="1" applyFont="1" applyFill="1" applyBorder="1" applyAlignment="1" applyProtection="1">
      <alignment horizontal="center" vertical="center"/>
    </xf>
    <xf numFmtId="1" fontId="4" fillId="0" borderId="76" xfId="0" applyNumberFormat="1" applyFont="1" applyFill="1" applyBorder="1" applyAlignment="1" applyProtection="1">
      <alignment horizontal="center" vertical="center"/>
    </xf>
    <xf numFmtId="165" fontId="1" fillId="0" borderId="15" xfId="0" quotePrefix="1" applyNumberFormat="1" applyFont="1" applyFill="1" applyBorder="1" applyAlignment="1" applyProtection="1">
      <alignment horizontal="center" vertical="center"/>
      <protection hidden="1"/>
    </xf>
    <xf numFmtId="2" fontId="3" fillId="0" borderId="33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85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18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40" xfId="0" applyNumberFormat="1" applyFont="1" applyFill="1" applyBorder="1" applyAlignment="1" applyProtection="1">
      <alignment horizontal="center"/>
      <protection locked="0" hidden="1"/>
    </xf>
    <xf numFmtId="165" fontId="3" fillId="0" borderId="49" xfId="0" quotePrefix="1" applyNumberFormat="1" applyFont="1" applyFill="1" applyBorder="1" applyAlignment="1" applyProtection="1">
      <alignment horizontal="center" vertical="center"/>
    </xf>
    <xf numFmtId="165" fontId="3" fillId="0" borderId="19" xfId="0" quotePrefix="1" applyNumberFormat="1" applyFont="1" applyFill="1" applyBorder="1" applyAlignment="1" applyProtection="1">
      <alignment horizontal="center" vertical="center"/>
    </xf>
    <xf numFmtId="165" fontId="3" fillId="0" borderId="25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165" fontId="3" fillId="0" borderId="15" xfId="0" applyNumberFormat="1" applyFont="1" applyFill="1" applyBorder="1" applyAlignment="1" applyProtection="1">
      <alignment horizontal="center" vertical="center"/>
    </xf>
    <xf numFmtId="1" fontId="4" fillId="0" borderId="63" xfId="0" applyNumberFormat="1" applyFont="1" applyFill="1" applyBorder="1" applyAlignment="1" applyProtection="1">
      <alignment horizontal="right"/>
      <protection hidden="1"/>
    </xf>
    <xf numFmtId="1" fontId="3" fillId="0" borderId="48" xfId="0" quotePrefix="1" applyNumberFormat="1" applyFont="1" applyFill="1" applyBorder="1" applyAlignment="1" applyProtection="1">
      <alignment horizontal="center"/>
      <protection hidden="1"/>
    </xf>
    <xf numFmtId="0" fontId="4" fillId="0" borderId="53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165" fontId="3" fillId="0" borderId="37" xfId="0" quotePrefix="1" applyNumberFormat="1" applyFont="1" applyFill="1" applyBorder="1" applyAlignment="1" applyProtection="1">
      <alignment horizontal="center" vertical="center"/>
    </xf>
    <xf numFmtId="165" fontId="1" fillId="0" borderId="37" xfId="0" quotePrefix="1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165" fontId="3" fillId="0" borderId="29" xfId="0" applyNumberFormat="1" applyFont="1" applyFill="1" applyBorder="1" applyAlignment="1" applyProtection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0" fontId="3" fillId="0" borderId="53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</xf>
    <xf numFmtId="165" fontId="3" fillId="0" borderId="94" xfId="0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Fill="1" applyBorder="1" applyAlignment="1" applyProtection="1">
      <alignment horizontal="center" vertical="center"/>
      <protection locked="0" hidden="1"/>
    </xf>
    <xf numFmtId="1" fontId="3" fillId="0" borderId="97" xfId="0" applyNumberFormat="1" applyFont="1" applyFill="1" applyBorder="1" applyAlignment="1" applyProtection="1">
      <alignment horizontal="center" vertical="center"/>
      <protection hidden="1"/>
    </xf>
    <xf numFmtId="1" fontId="1" fillId="0" borderId="60" xfId="0" applyNumberFormat="1" applyFont="1" applyFill="1" applyBorder="1" applyAlignment="1">
      <alignment horizontal="center" vertical="center"/>
    </xf>
    <xf numFmtId="1" fontId="3" fillId="0" borderId="126" xfId="0" applyNumberFormat="1" applyFont="1" applyFill="1" applyBorder="1" applyAlignment="1" applyProtection="1">
      <alignment horizontal="center" vertical="center"/>
      <protection hidden="1"/>
    </xf>
    <xf numFmtId="165" fontId="1" fillId="0" borderId="22" xfId="0" applyNumberFormat="1" applyFont="1" applyFill="1" applyBorder="1" applyAlignment="1" applyProtection="1">
      <alignment horizontal="left" vertical="center"/>
      <protection locked="0" hidden="1"/>
    </xf>
    <xf numFmtId="165" fontId="1" fillId="0" borderId="22" xfId="0" applyNumberFormat="1" applyFont="1" applyFill="1" applyBorder="1" applyAlignment="1" applyProtection="1">
      <alignment horizontal="left" vertical="center"/>
    </xf>
    <xf numFmtId="165" fontId="1" fillId="0" borderId="45" xfId="0" applyNumberFormat="1" applyFont="1" applyFill="1" applyBorder="1" applyProtection="1">
      <protection hidden="1"/>
    </xf>
    <xf numFmtId="0" fontId="3" fillId="0" borderId="56" xfId="0" applyNumberFormat="1" applyFont="1" applyFill="1" applyBorder="1" applyAlignment="1" applyProtection="1">
      <alignment horizontal="center" textRotation="90"/>
      <protection hidden="1"/>
    </xf>
    <xf numFmtId="0" fontId="1" fillId="0" borderId="26" xfId="0" applyNumberFormat="1" applyFont="1" applyFill="1" applyBorder="1" applyAlignment="1" applyProtection="1">
      <alignment horizontal="center" textRotation="90"/>
      <protection hidden="1"/>
    </xf>
    <xf numFmtId="0" fontId="1" fillId="0" borderId="54" xfId="0" applyNumberFormat="1" applyFont="1" applyFill="1" applyBorder="1" applyAlignment="1" applyProtection="1">
      <alignment horizontal="center" textRotation="90"/>
      <protection hidden="1"/>
    </xf>
    <xf numFmtId="0" fontId="3" fillId="0" borderId="35" xfId="0" applyNumberFormat="1" applyFont="1" applyFill="1" applyBorder="1" applyAlignment="1" applyProtection="1">
      <alignment horizontal="center" textRotation="90"/>
      <protection hidden="1"/>
    </xf>
    <xf numFmtId="0" fontId="1" fillId="0" borderId="35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35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17" xfId="0" applyNumberFormat="1" applyFont="1" applyFill="1" applyBorder="1" applyAlignment="1" applyProtection="1">
      <alignment horizontal="center" textRotation="90"/>
      <protection hidden="1"/>
    </xf>
    <xf numFmtId="0" fontId="1" fillId="0" borderId="35" xfId="0" applyNumberFormat="1" applyFont="1" applyFill="1" applyBorder="1" applyAlignment="1" applyProtection="1">
      <alignment horizontal="center" textRotation="90"/>
      <protection hidden="1"/>
    </xf>
    <xf numFmtId="0" fontId="1" fillId="0" borderId="17" xfId="0" applyNumberFormat="1" applyFont="1" applyFill="1" applyBorder="1" applyAlignment="1" applyProtection="1">
      <alignment horizontal="center" textRotation="90" wrapText="1"/>
      <protection hidden="1"/>
    </xf>
    <xf numFmtId="0" fontId="3" fillId="0" borderId="103" xfId="0" applyNumberFormat="1" applyFont="1" applyFill="1" applyBorder="1" applyAlignment="1" applyProtection="1">
      <alignment horizontal="center" vertical="center"/>
      <protection hidden="1"/>
    </xf>
    <xf numFmtId="0" fontId="1" fillId="0" borderId="57" xfId="0" applyFont="1" applyFill="1" applyBorder="1" applyAlignment="1">
      <alignment horizontal="center" textRotation="90" wrapText="1"/>
    </xf>
    <xf numFmtId="0" fontId="1" fillId="0" borderId="24" xfId="0" applyNumberFormat="1" applyFont="1" applyFill="1" applyBorder="1" applyAlignment="1" applyProtection="1">
      <alignment horizontal="center" textRotation="90"/>
      <protection hidden="1"/>
    </xf>
    <xf numFmtId="0" fontId="1" fillId="0" borderId="136" xfId="0" applyNumberFormat="1" applyFont="1" applyFill="1" applyBorder="1" applyAlignment="1" applyProtection="1">
      <alignment horizontal="center" textRotation="90" wrapText="1"/>
      <protection hidden="1"/>
    </xf>
    <xf numFmtId="0" fontId="1" fillId="0" borderId="23" xfId="0" applyFont="1" applyFill="1" applyBorder="1" applyAlignment="1">
      <alignment horizontal="center" textRotation="90" wrapText="1"/>
    </xf>
    <xf numFmtId="0" fontId="1" fillId="0" borderId="24" xfId="0" applyNumberFormat="1" applyFont="1" applyFill="1" applyBorder="1" applyAlignment="1" applyProtection="1">
      <alignment horizontal="center" textRotation="90" wrapText="1"/>
    </xf>
    <xf numFmtId="0" fontId="1" fillId="0" borderId="17" xfId="0" applyNumberFormat="1" applyFont="1" applyFill="1" applyBorder="1" applyAlignment="1" applyProtection="1">
      <alignment horizontal="center" textRotation="90"/>
      <protection hidden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textRotation="90"/>
      <protection hidden="1"/>
    </xf>
    <xf numFmtId="0" fontId="0" fillId="0" borderId="49" xfId="0" applyFill="1" applyBorder="1"/>
    <xf numFmtId="1" fontId="3" fillId="0" borderId="96" xfId="0" applyNumberFormat="1" applyFont="1" applyFill="1" applyBorder="1" applyAlignment="1" applyProtection="1">
      <alignment horizontal="center"/>
      <protection hidden="1"/>
    </xf>
    <xf numFmtId="1" fontId="3" fillId="0" borderId="92" xfId="0" applyNumberFormat="1" applyFont="1" applyFill="1" applyBorder="1" applyAlignment="1" applyProtection="1">
      <alignment horizontal="center"/>
      <protection hidden="1"/>
    </xf>
    <xf numFmtId="1" fontId="3" fillId="0" borderId="94" xfId="0" applyNumberFormat="1" applyFont="1" applyFill="1" applyBorder="1" applyAlignment="1" applyProtection="1">
      <alignment horizontal="center"/>
      <protection hidden="1"/>
    </xf>
    <xf numFmtId="1" fontId="3" fillId="0" borderId="90" xfId="0" applyNumberFormat="1" applyFont="1" applyFill="1" applyBorder="1" applyAlignment="1" applyProtection="1">
      <alignment horizontal="center"/>
      <protection hidden="1"/>
    </xf>
    <xf numFmtId="165" fontId="3" fillId="0" borderId="92" xfId="0" applyNumberFormat="1" applyFont="1" applyFill="1" applyBorder="1" applyAlignment="1" applyProtection="1">
      <alignment horizontal="center"/>
      <protection hidden="1"/>
    </xf>
    <xf numFmtId="165" fontId="3" fillId="0" borderId="90" xfId="0" applyNumberFormat="1" applyFont="1" applyFill="1" applyBorder="1" applyAlignment="1" applyProtection="1">
      <alignment horizontal="center"/>
      <protection hidden="1"/>
    </xf>
    <xf numFmtId="165" fontId="3" fillId="0" borderId="94" xfId="0" applyNumberFormat="1" applyFont="1" applyFill="1" applyBorder="1" applyAlignment="1" applyProtection="1">
      <alignment horizontal="center"/>
      <protection hidden="1"/>
    </xf>
    <xf numFmtId="0" fontId="3" fillId="0" borderId="92" xfId="0" applyNumberFormat="1" applyFont="1" applyFill="1" applyBorder="1" applyAlignment="1" applyProtection="1">
      <alignment horizontal="center"/>
      <protection hidden="1"/>
    </xf>
    <xf numFmtId="0" fontId="3" fillId="0" borderId="94" xfId="0" applyNumberFormat="1" applyFont="1" applyFill="1" applyBorder="1" applyAlignment="1" applyProtection="1">
      <alignment horizontal="center"/>
      <protection hidden="1"/>
    </xf>
    <xf numFmtId="0" fontId="3" fillId="0" borderId="26" xfId="0" applyNumberFormat="1" applyFont="1" applyFill="1" applyBorder="1" applyAlignment="1" applyProtection="1">
      <alignment horizontal="center"/>
      <protection hidden="1"/>
    </xf>
    <xf numFmtId="0" fontId="3" fillId="0" borderId="90" xfId="0" applyNumberFormat="1" applyFont="1" applyFill="1" applyBorder="1" applyAlignment="1" applyProtection="1">
      <alignment horizontal="center"/>
      <protection hidden="1"/>
    </xf>
    <xf numFmtId="0" fontId="3" fillId="0" borderId="94" xfId="1540" applyNumberFormat="1" applyFont="1" applyFill="1" applyBorder="1" applyAlignment="1" applyProtection="1">
      <alignment horizontal="center"/>
      <protection hidden="1"/>
    </xf>
    <xf numFmtId="16" fontId="0" fillId="0" borderId="49" xfId="0" applyNumberFormat="1" applyFill="1" applyBorder="1"/>
    <xf numFmtId="0" fontId="4" fillId="0" borderId="49" xfId="0" applyFont="1" applyFill="1" applyBorder="1"/>
    <xf numFmtId="0" fontId="0" fillId="0" borderId="49" xfId="0" applyFill="1" applyBorder="1" applyAlignment="1">
      <alignment horizontal="left" vertical="center"/>
    </xf>
    <xf numFmtId="0" fontId="3" fillId="0" borderId="102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115" xfId="0" applyNumberFormat="1" applyFont="1" applyFill="1" applyBorder="1" applyAlignment="1" applyProtection="1">
      <alignment horizontal="center" vertical="center"/>
      <protection hidden="1"/>
    </xf>
    <xf numFmtId="0" fontId="3" fillId="0" borderId="104" xfId="0" applyNumberFormat="1" applyFont="1" applyFill="1" applyBorder="1" applyAlignment="1" applyProtection="1">
      <alignment horizontal="center" vertical="center"/>
      <protection hidden="1"/>
    </xf>
    <xf numFmtId="0" fontId="3" fillId="0" borderId="147" xfId="0" applyNumberFormat="1" applyFont="1" applyFill="1" applyBorder="1" applyAlignment="1" applyProtection="1">
      <alignment horizontal="center" vertical="center"/>
      <protection hidden="1"/>
    </xf>
    <xf numFmtId="0" fontId="3" fillId="0" borderId="148" xfId="0" applyNumberFormat="1" applyFont="1" applyFill="1" applyBorder="1" applyAlignment="1" applyProtection="1">
      <alignment horizontal="center" vertical="center"/>
      <protection hidden="1"/>
    </xf>
    <xf numFmtId="0" fontId="3" fillId="0" borderId="149" xfId="0" applyNumberFormat="1" applyFont="1" applyFill="1" applyBorder="1" applyAlignment="1" applyProtection="1">
      <alignment horizontal="center" vertical="center"/>
      <protection hidden="1"/>
    </xf>
    <xf numFmtId="0" fontId="1" fillId="0" borderId="150" xfId="0" applyNumberFormat="1" applyFont="1" applyFill="1" applyBorder="1" applyAlignment="1" applyProtection="1">
      <alignment horizontal="center" textRotation="90" shrinkToFit="1"/>
      <protection hidden="1"/>
    </xf>
    <xf numFmtId="0" fontId="1" fillId="0" borderId="76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76" xfId="0" applyNumberFormat="1" applyFont="1" applyFill="1" applyBorder="1" applyAlignment="1" applyProtection="1">
      <alignment horizontal="center" vertical="center"/>
      <protection hidden="1"/>
    </xf>
    <xf numFmtId="0" fontId="1" fillId="0" borderId="146" xfId="0" applyFont="1" applyFill="1" applyBorder="1" applyAlignment="1">
      <alignment vertical="center"/>
    </xf>
    <xf numFmtId="0" fontId="3" fillId="0" borderId="86" xfId="0" applyNumberFormat="1" applyFont="1" applyFill="1" applyBorder="1" applyAlignment="1" applyProtection="1">
      <alignment horizontal="center" vertical="center"/>
      <protection hidden="1"/>
    </xf>
    <xf numFmtId="1" fontId="3" fillId="0" borderId="105" xfId="1540" applyNumberFormat="1" applyFont="1" applyFill="1" applyBorder="1" applyAlignment="1" applyProtection="1">
      <alignment horizontal="center" vertical="center"/>
      <protection hidden="1"/>
    </xf>
    <xf numFmtId="1" fontId="3" fillId="0" borderId="87" xfId="1540" applyNumberFormat="1" applyFont="1" applyFill="1" applyBorder="1" applyAlignment="1" applyProtection="1">
      <alignment horizontal="center" vertical="center"/>
      <protection hidden="1"/>
    </xf>
    <xf numFmtId="0" fontId="3" fillId="0" borderId="86" xfId="1540" applyNumberFormat="1" applyFont="1" applyFill="1" applyBorder="1" applyAlignment="1" applyProtection="1">
      <alignment horizontal="center" vertical="center"/>
      <protection hidden="1"/>
    </xf>
    <xf numFmtId="1" fontId="3" fillId="0" borderId="88" xfId="1540" applyNumberFormat="1" applyFont="1" applyFill="1" applyBorder="1" applyAlignment="1" applyProtection="1">
      <alignment horizontal="center" vertical="center"/>
      <protection hidden="1"/>
    </xf>
    <xf numFmtId="0" fontId="4" fillId="0" borderId="76" xfId="0" applyNumberFormat="1" applyFont="1" applyFill="1" applyBorder="1" applyAlignment="1" applyProtection="1">
      <alignment horizontal="center" vertical="center"/>
      <protection hidden="1"/>
    </xf>
    <xf numFmtId="1" fontId="3" fillId="0" borderId="86" xfId="0" applyNumberFormat="1" applyFont="1" applyFill="1" applyBorder="1" applyAlignment="1" applyProtection="1">
      <alignment horizontal="center" vertical="center"/>
      <protection hidden="1"/>
    </xf>
    <xf numFmtId="1" fontId="3" fillId="0" borderId="105" xfId="0" applyNumberFormat="1" applyFont="1" applyFill="1" applyBorder="1" applyAlignment="1" applyProtection="1">
      <alignment horizontal="center" vertical="center"/>
      <protection hidden="1"/>
    </xf>
    <xf numFmtId="165" fontId="4" fillId="0" borderId="87" xfId="0" applyNumberFormat="1" applyFont="1" applyFill="1" applyBorder="1" applyAlignment="1" applyProtection="1">
      <alignment horizontal="center" vertical="center"/>
      <protection hidden="1"/>
    </xf>
    <xf numFmtId="1" fontId="3" fillId="0" borderId="87" xfId="0" applyNumberFormat="1" applyFont="1" applyFill="1" applyBorder="1" applyAlignment="1" applyProtection="1">
      <alignment horizontal="center" vertical="center"/>
      <protection hidden="1"/>
    </xf>
    <xf numFmtId="165" fontId="4" fillId="0" borderId="88" xfId="0" applyNumberFormat="1" applyFont="1" applyFill="1" applyBorder="1" applyAlignment="1" applyProtection="1">
      <alignment horizontal="center" vertical="center"/>
      <protection hidden="1"/>
    </xf>
    <xf numFmtId="1" fontId="1" fillId="0" borderId="86" xfId="0" applyNumberFormat="1" applyFont="1" applyFill="1" applyBorder="1" applyAlignment="1" applyProtection="1">
      <alignment horizontal="center" vertical="center"/>
      <protection hidden="1"/>
    </xf>
    <xf numFmtId="1" fontId="1" fillId="0" borderId="105" xfId="0" applyNumberFormat="1" applyFont="1" applyFill="1" applyBorder="1" applyAlignment="1" applyProtection="1">
      <alignment horizontal="center" vertical="center"/>
      <protection hidden="1"/>
    </xf>
    <xf numFmtId="165" fontId="4" fillId="0" borderId="105" xfId="0" applyNumberFormat="1" applyFont="1" applyFill="1" applyBorder="1" applyAlignment="1" applyProtection="1">
      <alignment horizontal="center" vertical="center"/>
      <protection hidden="1"/>
    </xf>
    <xf numFmtId="0" fontId="3" fillId="0" borderId="76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146" xfId="0" applyNumberFormat="1" applyFont="1" applyFill="1" applyBorder="1" applyAlignment="1" applyProtection="1">
      <alignment horizontal="center" vertical="center"/>
      <protection hidden="1"/>
    </xf>
    <xf numFmtId="0" fontId="1" fillId="0" borderId="151" xfId="0" applyNumberFormat="1" applyFont="1" applyFill="1" applyBorder="1" applyAlignment="1" applyProtection="1">
      <alignment horizontal="center" vertical="center"/>
      <protection hidden="1"/>
    </xf>
    <xf numFmtId="0" fontId="3" fillId="0" borderId="153" xfId="0" applyNumberFormat="1" applyFont="1" applyFill="1" applyBorder="1" applyAlignment="1" applyProtection="1">
      <alignment horizontal="center" textRotation="90" wrapText="1"/>
    </xf>
    <xf numFmtId="0" fontId="3" fillId="0" borderId="54" xfId="0" applyNumberFormat="1" applyFont="1" applyFill="1" applyBorder="1" applyAlignment="1" applyProtection="1">
      <alignment horizontal="center" vertical="center" wrapText="1"/>
    </xf>
    <xf numFmtId="164" fontId="3" fillId="0" borderId="54" xfId="0" applyNumberFormat="1" applyFont="1" applyFill="1" applyBorder="1" applyAlignment="1" applyProtection="1">
      <alignment horizontal="center" vertical="center"/>
      <protection hidden="1"/>
    </xf>
    <xf numFmtId="0" fontId="3" fillId="0" borderId="76" xfId="0" applyFont="1" applyFill="1" applyBorder="1" applyAlignment="1">
      <alignment horizontal="center" vertical="center"/>
    </xf>
    <xf numFmtId="1" fontId="3" fillId="0" borderId="97" xfId="0" applyNumberFormat="1" applyFont="1" applyFill="1" applyBorder="1" applyAlignment="1" applyProtection="1">
      <alignment horizontal="center" vertical="center"/>
    </xf>
    <xf numFmtId="165" fontId="3" fillId="0" borderId="93" xfId="0" applyNumberFormat="1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1" fontId="3" fillId="0" borderId="93" xfId="0" applyNumberFormat="1" applyFont="1" applyFill="1" applyBorder="1" applyAlignment="1" applyProtection="1">
      <alignment horizontal="center" vertical="center"/>
    </xf>
    <xf numFmtId="1" fontId="3" fillId="0" borderId="95" xfId="0" applyNumberFormat="1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165" fontId="4" fillId="0" borderId="76" xfId="0" applyNumberFormat="1" applyFont="1" applyFill="1" applyBorder="1" applyAlignment="1" applyProtection="1">
      <alignment horizontal="center" vertical="center"/>
    </xf>
    <xf numFmtId="1" fontId="3" fillId="0" borderId="93" xfId="0" quotePrefix="1" applyNumberFormat="1" applyFont="1" applyFill="1" applyBorder="1" applyAlignment="1" applyProtection="1">
      <alignment horizontal="center" vertical="center"/>
    </xf>
    <xf numFmtId="165" fontId="3" fillId="0" borderId="91" xfId="0" applyNumberFormat="1" applyFont="1" applyFill="1" applyBorder="1" applyAlignment="1" applyProtection="1">
      <alignment horizontal="center" vertical="center"/>
    </xf>
    <xf numFmtId="165" fontId="3" fillId="0" borderId="95" xfId="0" applyNumberFormat="1" applyFont="1" applyFill="1" applyBorder="1" applyAlignment="1" applyProtection="1">
      <alignment horizontal="center" vertical="center"/>
    </xf>
    <xf numFmtId="165" fontId="3" fillId="0" borderId="76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4" fillId="0" borderId="146" xfId="0" applyFont="1" applyFill="1" applyBorder="1" applyAlignment="1" applyProtection="1">
      <alignment horizontal="center" vertical="center"/>
    </xf>
    <xf numFmtId="0" fontId="3" fillId="0" borderId="97" xfId="0" quotePrefix="1" applyNumberFormat="1" applyFont="1" applyFill="1" applyBorder="1" applyAlignment="1" applyProtection="1">
      <alignment horizontal="center" vertical="center"/>
    </xf>
    <xf numFmtId="0" fontId="3" fillId="0" borderId="93" xfId="0" applyNumberFormat="1" applyFont="1" applyFill="1" applyBorder="1" applyAlignment="1" applyProtection="1">
      <alignment horizontal="center" vertical="center"/>
    </xf>
    <xf numFmtId="0" fontId="3" fillId="0" borderId="149" xfId="0" applyNumberFormat="1" applyFont="1" applyFill="1" applyBorder="1" applyAlignment="1" applyProtection="1">
      <alignment horizontal="center" vertical="center"/>
    </xf>
    <xf numFmtId="0" fontId="1" fillId="0" borderId="34" xfId="0" applyNumberFormat="1" applyFont="1" applyFill="1" applyBorder="1" applyAlignment="1" applyProtection="1">
      <alignment horizontal="center" textRotation="90" wrapText="1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90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92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29" xfId="0" quotePrefix="1" applyNumberFormat="1" applyFont="1" applyFill="1" applyBorder="1" applyAlignment="1" applyProtection="1">
      <alignment horizontal="center" vertical="center"/>
      <protection hidden="1"/>
    </xf>
    <xf numFmtId="0" fontId="1" fillId="0" borderId="34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101" xfId="0" applyNumberFormat="1" applyFont="1" applyFill="1" applyBorder="1" applyAlignment="1" applyProtection="1">
      <alignment horizontal="center" vertical="center"/>
      <protection hidden="1"/>
    </xf>
    <xf numFmtId="0" fontId="11" fillId="0" borderId="49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Fill="1" applyBorder="1"/>
    <xf numFmtId="0" fontId="3" fillId="0" borderId="136" xfId="0" applyNumberFormat="1" applyFont="1" applyFill="1" applyBorder="1" applyAlignment="1" applyProtection="1">
      <alignment horizontal="center" textRotation="90" wrapText="1"/>
    </xf>
    <xf numFmtId="165" fontId="3" fillId="0" borderId="79" xfId="0" applyNumberFormat="1" applyFont="1" applyFill="1" applyBorder="1" applyAlignment="1" applyProtection="1">
      <alignment horizontal="center" vertical="center"/>
      <protection hidden="1"/>
    </xf>
    <xf numFmtId="1" fontId="3" fillId="0" borderId="55" xfId="0" applyNumberFormat="1" applyFont="1" applyFill="1" applyBorder="1" applyAlignment="1" applyProtection="1">
      <alignment horizontal="center" vertical="center"/>
      <protection hidden="1"/>
    </xf>
    <xf numFmtId="165" fontId="3" fillId="0" borderId="28" xfId="0" quotePrefix="1" applyNumberFormat="1" applyFont="1" applyFill="1" applyBorder="1" applyAlignment="1" applyProtection="1">
      <alignment horizontal="center" vertical="center"/>
      <protection hidden="1"/>
    </xf>
    <xf numFmtId="165" fontId="1" fillId="0" borderId="28" xfId="0" quotePrefix="1" applyNumberFormat="1" applyFont="1" applyFill="1" applyBorder="1" applyAlignment="1" applyProtection="1">
      <alignment horizontal="center" vertical="center"/>
      <protection hidden="1"/>
    </xf>
    <xf numFmtId="165" fontId="3" fillId="0" borderId="29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57" xfId="0" applyNumberFormat="1" applyFont="1" applyFill="1" applyBorder="1" applyAlignment="1" applyProtection="1">
      <alignment horizontal="center" textRotation="90"/>
      <protection hidden="1"/>
    </xf>
    <xf numFmtId="16" fontId="3" fillId="0" borderId="26" xfId="0" applyNumberFormat="1" applyFont="1" applyFill="1" applyBorder="1" applyAlignment="1">
      <alignment horizontal="center" vertical="center"/>
    </xf>
    <xf numFmtId="1" fontId="3" fillId="0" borderId="112" xfId="0" applyNumberFormat="1" applyFont="1" applyFill="1" applyBorder="1" applyAlignment="1" applyProtection="1">
      <alignment horizontal="center" vertical="center"/>
      <protection hidden="1"/>
    </xf>
    <xf numFmtId="165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/>
      <protection hidden="1"/>
    </xf>
    <xf numFmtId="0" fontId="3" fillId="0" borderId="90" xfId="0" applyNumberFormat="1" applyFont="1" applyFill="1" applyBorder="1" applyAlignment="1" applyProtection="1">
      <alignment horizontal="center" vertical="center"/>
      <protection hidden="1"/>
    </xf>
    <xf numFmtId="0" fontId="3" fillId="0" borderId="92" xfId="0" applyNumberFormat="1" applyFont="1" applyFill="1" applyBorder="1" applyAlignment="1" applyProtection="1">
      <alignment horizontal="center" vertical="center"/>
      <protection hidden="1"/>
    </xf>
    <xf numFmtId="0" fontId="11" fillId="0" borderId="49" xfId="0" applyFont="1" applyFill="1" applyBorder="1"/>
    <xf numFmtId="0" fontId="1" fillId="0" borderId="26" xfId="0" applyNumberFormat="1" applyFont="1" applyFill="1" applyBorder="1" applyAlignment="1" applyProtection="1">
      <alignment horizontal="center" vertical="center" wrapText="1"/>
    </xf>
    <xf numFmtId="164" fontId="1" fillId="0" borderId="26" xfId="0" applyNumberFormat="1" applyFont="1" applyFill="1" applyBorder="1" applyAlignment="1" applyProtection="1">
      <alignment horizontal="center" vertical="center"/>
      <protection hidden="1"/>
    </xf>
    <xf numFmtId="1" fontId="1" fillId="0" borderId="96" xfId="0" applyNumberFormat="1" applyFont="1" applyFill="1" applyBorder="1" applyAlignment="1" applyProtection="1">
      <alignment horizontal="center" vertical="center"/>
    </xf>
    <xf numFmtId="165" fontId="1" fillId="0" borderId="92" xfId="0" applyNumberFormat="1" applyFont="1" applyFill="1" applyBorder="1" applyAlignment="1" applyProtection="1">
      <alignment horizontal="center" vertical="center"/>
    </xf>
    <xf numFmtId="1" fontId="1" fillId="0" borderId="94" xfId="0" applyNumberFormat="1" applyFont="1" applyFill="1" applyBorder="1" applyAlignment="1" applyProtection="1">
      <alignment horizontal="center" vertical="center"/>
      <protection hidden="1"/>
    </xf>
    <xf numFmtId="1" fontId="1" fillId="0" borderId="92" xfId="0" applyNumberFormat="1" applyFont="1" applyFill="1" applyBorder="1" applyAlignment="1" applyProtection="1">
      <alignment horizontal="center" vertical="center"/>
    </xf>
    <xf numFmtId="1" fontId="1" fillId="0" borderId="94" xfId="0" applyNumberFormat="1" applyFont="1" applyFill="1" applyBorder="1" applyAlignment="1" applyProtection="1">
      <alignment horizontal="center" vertical="center"/>
    </xf>
    <xf numFmtId="165" fontId="1" fillId="0" borderId="94" xfId="0" applyNumberFormat="1" applyFont="1" applyFill="1" applyBorder="1" applyAlignment="1" applyProtection="1">
      <alignment horizontal="center" vertical="center"/>
    </xf>
    <xf numFmtId="1" fontId="1" fillId="0" borderId="112" xfId="0" applyNumberFormat="1" applyFont="1" applyFill="1" applyBorder="1" applyAlignment="1" applyProtection="1">
      <alignment horizontal="center" vertical="center"/>
    </xf>
    <xf numFmtId="165" fontId="1" fillId="0" borderId="96" xfId="0" applyNumberFormat="1" applyFont="1" applyFill="1" applyBorder="1" applyAlignment="1" applyProtection="1">
      <alignment horizontal="center" vertical="center"/>
    </xf>
    <xf numFmtId="0" fontId="1" fillId="0" borderId="26" xfId="0" quotePrefix="1" applyNumberFormat="1" applyFont="1" applyFill="1" applyBorder="1" applyAlignment="1" applyProtection="1">
      <alignment horizontal="center" vertical="center"/>
    </xf>
    <xf numFmtId="0" fontId="1" fillId="0" borderId="96" xfId="0" applyNumberFormat="1" applyFont="1" applyFill="1" applyBorder="1" applyAlignment="1" applyProtection="1">
      <alignment horizontal="center"/>
    </xf>
    <xf numFmtId="0" fontId="1" fillId="0" borderId="92" xfId="0" applyNumberFormat="1" applyFont="1" applyFill="1" applyBorder="1" applyAlignment="1" applyProtection="1">
      <alignment horizontal="center"/>
    </xf>
    <xf numFmtId="0" fontId="1" fillId="0" borderId="94" xfId="0" applyNumberFormat="1" applyFont="1" applyFill="1" applyBorder="1" applyAlignment="1" applyProtection="1">
      <alignment horizontal="center"/>
    </xf>
    <xf numFmtId="0" fontId="3" fillId="0" borderId="96" xfId="0" applyNumberFormat="1" applyFont="1" applyFill="1" applyBorder="1" applyAlignment="1" applyProtection="1">
      <alignment horizontal="center" vertical="center"/>
    </xf>
    <xf numFmtId="2" fontId="0" fillId="0" borderId="49" xfId="0" applyNumberFormat="1" applyFill="1" applyBorder="1" applyAlignment="1">
      <alignment vertical="center"/>
    </xf>
    <xf numFmtId="165" fontId="0" fillId="0" borderId="49" xfId="0" applyNumberFormat="1" applyFill="1" applyBorder="1" applyAlignment="1">
      <alignment vertical="center"/>
    </xf>
    <xf numFmtId="0" fontId="1" fillId="0" borderId="10" xfId="0" applyNumberFormat="1" applyFont="1" applyFill="1" applyBorder="1" applyAlignment="1" applyProtection="1">
      <alignment horizontal="center" textRotation="90" wrapText="1"/>
    </xf>
    <xf numFmtId="1" fontId="3" fillId="0" borderId="32" xfId="0" applyNumberFormat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>
      <alignment horizontal="center" textRotation="90" wrapText="1"/>
    </xf>
    <xf numFmtId="0" fontId="1" fillId="0" borderId="26" xfId="0" applyFont="1" applyFill="1" applyBorder="1" applyAlignment="1" applyProtection="1">
      <alignment horizontal="center" vertical="center"/>
      <protection locked="0" hidden="1"/>
    </xf>
    <xf numFmtId="165" fontId="3" fillId="0" borderId="78" xfId="0" applyNumberFormat="1" applyFont="1" applyFill="1" applyBorder="1" applyAlignment="1" applyProtection="1">
      <alignment horizontal="center" vertical="center"/>
    </xf>
    <xf numFmtId="0" fontId="3" fillId="0" borderId="61" xfId="0" applyNumberFormat="1" applyFont="1" applyFill="1" applyBorder="1" applyAlignment="1" applyProtection="1">
      <alignment horizontal="center" vertical="center"/>
    </xf>
    <xf numFmtId="0" fontId="4" fillId="0" borderId="49" xfId="0" applyNumberFormat="1" applyFont="1" applyFill="1" applyBorder="1" applyAlignment="1" applyProtection="1">
      <alignment horizontal="center" textRotation="90"/>
      <protection hidden="1"/>
    </xf>
    <xf numFmtId="165" fontId="0" fillId="0" borderId="49" xfId="0" applyNumberFormat="1" applyFill="1" applyBorder="1" applyAlignment="1">
      <alignment horizontal="center" vertical="center"/>
    </xf>
    <xf numFmtId="0" fontId="4" fillId="25" borderId="9" xfId="0" applyNumberFormat="1" applyFont="1" applyFill="1" applyBorder="1" applyAlignment="1" applyProtection="1">
      <alignment horizontal="center" textRotation="90"/>
    </xf>
    <xf numFmtId="0" fontId="0" fillId="0" borderId="0" xfId="0" applyFont="1" applyFill="1" applyBorder="1"/>
    <xf numFmtId="164" fontId="3" fillId="0" borderId="19" xfId="0" quotePrefix="1" applyNumberFormat="1" applyFont="1" applyFill="1" applyBorder="1" applyAlignment="1" applyProtection="1">
      <alignment horizontal="center" vertical="center"/>
      <protection hidden="1"/>
    </xf>
    <xf numFmtId="0" fontId="3" fillId="0" borderId="27" xfId="0" quotePrefix="1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4" fillId="0" borderId="72" xfId="0" applyNumberFormat="1" applyFont="1" applyFill="1" applyBorder="1" applyAlignment="1" applyProtection="1">
      <alignment horizontal="center" vertical="center"/>
      <protection hidden="1"/>
    </xf>
    <xf numFmtId="0" fontId="4" fillId="0" borderId="152" xfId="0" applyNumberFormat="1" applyFont="1" applyFill="1" applyBorder="1" applyAlignment="1" applyProtection="1">
      <alignment horizontal="center" vertical="center"/>
      <protection hidden="1"/>
    </xf>
    <xf numFmtId="0" fontId="4" fillId="0" borderId="7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5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0" applyNumberFormat="1" applyFont="1" applyFill="1" applyBorder="1" applyAlignment="1" applyProtection="1">
      <alignment horizontal="center"/>
      <protection locked="0" hidden="1"/>
    </xf>
    <xf numFmtId="1" fontId="4" fillId="0" borderId="30" xfId="0" applyNumberFormat="1" applyFont="1" applyFill="1" applyBorder="1" applyAlignment="1" applyProtection="1">
      <alignment horizontal="center" vertical="center"/>
      <protection hidden="1"/>
    </xf>
    <xf numFmtId="1" fontId="4" fillId="0" borderId="34" xfId="0" applyNumberFormat="1" applyFont="1" applyFill="1" applyBorder="1" applyAlignment="1" applyProtection="1">
      <alignment horizontal="center" vertical="center"/>
      <protection hidden="1"/>
    </xf>
    <xf numFmtId="0" fontId="8" fillId="0" borderId="138" xfId="0" applyNumberFormat="1" applyFont="1" applyFill="1" applyBorder="1" applyAlignment="1" applyProtection="1">
      <alignment horizontal="center"/>
      <protection hidden="1"/>
    </xf>
    <xf numFmtId="0" fontId="8" fillId="0" borderId="72" xfId="0" applyNumberFormat="1" applyFont="1" applyFill="1" applyBorder="1" applyAlignment="1" applyProtection="1">
      <alignment horizontal="center"/>
      <protection hidden="1"/>
    </xf>
    <xf numFmtId="0" fontId="8" fillId="0" borderId="139" xfId="0" applyNumberFormat="1" applyFont="1" applyFill="1" applyBorder="1" applyAlignment="1" applyProtection="1">
      <alignment horizontal="center"/>
      <protection hidden="1"/>
    </xf>
    <xf numFmtId="0" fontId="8" fillId="0" borderId="58" xfId="0" applyNumberFormat="1" applyFont="1" applyFill="1" applyBorder="1" applyAlignment="1" applyProtection="1">
      <alignment horizontal="center"/>
      <protection hidden="1"/>
    </xf>
    <xf numFmtId="0" fontId="4" fillId="0" borderId="17" xfId="0" applyNumberFormat="1" applyFont="1" applyFill="1" applyBorder="1" applyAlignment="1" applyProtection="1">
      <alignment horizontal="center" vertical="center" wrapText="1"/>
    </xf>
  </cellXfs>
  <cellStyles count="1995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14" xfId="6"/>
    <cellStyle name="20% - Accent1 2 15" xfId="7"/>
    <cellStyle name="20% - Accent1 2 16" xfId="8"/>
    <cellStyle name="20% - Accent1 2 17" xfId="9"/>
    <cellStyle name="20% - Accent1 2 18" xfId="10"/>
    <cellStyle name="20% - Accent1 2 19" xfId="11"/>
    <cellStyle name="20% - Accent1 2 2" xfId="12"/>
    <cellStyle name="20% - Accent1 2 20" xfId="13"/>
    <cellStyle name="20% - Accent1 2 21" xfId="14"/>
    <cellStyle name="20% - Accent1 2 22" xfId="15"/>
    <cellStyle name="20% - Accent1 2 23" xfId="16"/>
    <cellStyle name="20% - Accent1 2 24" xfId="17"/>
    <cellStyle name="20% - Accent1 2 25" xfId="18"/>
    <cellStyle name="20% - Accent1 2 26" xfId="19"/>
    <cellStyle name="20% - Accent1 2 27" xfId="20"/>
    <cellStyle name="20% - Accent1 2 28" xfId="21"/>
    <cellStyle name="20% - Accent1 2 29" xfId="22"/>
    <cellStyle name="20% - Accent1 2 3" xfId="23"/>
    <cellStyle name="20% - Accent1 2 30" xfId="24"/>
    <cellStyle name="20% - Accent1 2 31" xfId="25"/>
    <cellStyle name="20% - Accent1 2 32" xfId="26"/>
    <cellStyle name="20% - Accent1 2 33" xfId="27"/>
    <cellStyle name="20% - Accent1 2 34" xfId="28"/>
    <cellStyle name="20% - Accent1 2 35" xfId="29"/>
    <cellStyle name="20% - Accent1 2 36" xfId="30"/>
    <cellStyle name="20% - Accent1 2 37" xfId="31"/>
    <cellStyle name="20% - Accent1 2 38" xfId="32"/>
    <cellStyle name="20% - Accent1 2 39" xfId="33"/>
    <cellStyle name="20% - Accent1 2 4" xfId="34"/>
    <cellStyle name="20% - Accent1 2 40" xfId="35"/>
    <cellStyle name="20% - Accent1 2 41" xfId="36"/>
    <cellStyle name="20% - Accent1 2 42" xfId="37"/>
    <cellStyle name="20% - Accent1 2 43" xfId="38"/>
    <cellStyle name="20% - Accent1 2 44" xfId="39"/>
    <cellStyle name="20% - Accent1 2 45" xfId="40"/>
    <cellStyle name="20% - Accent1 2 46" xfId="41"/>
    <cellStyle name="20% - Accent1 2 47" xfId="42"/>
    <cellStyle name="20% - Accent1 2 48" xfId="43"/>
    <cellStyle name="20% - Accent1 2 49" xfId="44"/>
    <cellStyle name="20% - Accent1 2 5" xfId="45"/>
    <cellStyle name="20% - Accent1 2 6" xfId="46"/>
    <cellStyle name="20% - Accent1 2 7" xfId="47"/>
    <cellStyle name="20% - Accent1 2 8" xfId="48"/>
    <cellStyle name="20% - Accent1 2 9" xfId="49"/>
    <cellStyle name="20% - Accent2 2" xfId="50"/>
    <cellStyle name="20% - Accent2 2 10" xfId="51"/>
    <cellStyle name="20% - Accent2 2 11" xfId="52"/>
    <cellStyle name="20% - Accent2 2 12" xfId="53"/>
    <cellStyle name="20% - Accent2 2 13" xfId="54"/>
    <cellStyle name="20% - Accent2 2 14" xfId="55"/>
    <cellStyle name="20% - Accent2 2 15" xfId="56"/>
    <cellStyle name="20% - Accent2 2 16" xfId="57"/>
    <cellStyle name="20% - Accent2 2 17" xfId="58"/>
    <cellStyle name="20% - Accent2 2 18" xfId="59"/>
    <cellStyle name="20% - Accent2 2 19" xfId="60"/>
    <cellStyle name="20% - Accent2 2 2" xfId="61"/>
    <cellStyle name="20% - Accent2 2 20" xfId="62"/>
    <cellStyle name="20% - Accent2 2 21" xfId="63"/>
    <cellStyle name="20% - Accent2 2 22" xfId="64"/>
    <cellStyle name="20% - Accent2 2 23" xfId="65"/>
    <cellStyle name="20% - Accent2 2 24" xfId="66"/>
    <cellStyle name="20% - Accent2 2 25" xfId="67"/>
    <cellStyle name="20% - Accent2 2 26" xfId="68"/>
    <cellStyle name="20% - Accent2 2 27" xfId="69"/>
    <cellStyle name="20% - Accent2 2 28" xfId="70"/>
    <cellStyle name="20% - Accent2 2 29" xfId="71"/>
    <cellStyle name="20% - Accent2 2 3" xfId="72"/>
    <cellStyle name="20% - Accent2 2 30" xfId="73"/>
    <cellStyle name="20% - Accent2 2 31" xfId="74"/>
    <cellStyle name="20% - Accent2 2 32" xfId="75"/>
    <cellStyle name="20% - Accent2 2 33" xfId="76"/>
    <cellStyle name="20% - Accent2 2 34" xfId="77"/>
    <cellStyle name="20% - Accent2 2 35" xfId="78"/>
    <cellStyle name="20% - Accent2 2 36" xfId="79"/>
    <cellStyle name="20% - Accent2 2 37" xfId="80"/>
    <cellStyle name="20% - Accent2 2 38" xfId="81"/>
    <cellStyle name="20% - Accent2 2 39" xfId="82"/>
    <cellStyle name="20% - Accent2 2 4" xfId="83"/>
    <cellStyle name="20% - Accent2 2 40" xfId="84"/>
    <cellStyle name="20% - Accent2 2 41" xfId="85"/>
    <cellStyle name="20% - Accent2 2 42" xfId="86"/>
    <cellStyle name="20% - Accent2 2 43" xfId="87"/>
    <cellStyle name="20% - Accent2 2 44" xfId="88"/>
    <cellStyle name="20% - Accent2 2 45" xfId="89"/>
    <cellStyle name="20% - Accent2 2 46" xfId="90"/>
    <cellStyle name="20% - Accent2 2 47" xfId="91"/>
    <cellStyle name="20% - Accent2 2 48" xfId="92"/>
    <cellStyle name="20% - Accent2 2 49" xfId="93"/>
    <cellStyle name="20% - Accent2 2 5" xfId="94"/>
    <cellStyle name="20% - Accent2 2 6" xfId="95"/>
    <cellStyle name="20% - Accent2 2 7" xfId="96"/>
    <cellStyle name="20% - Accent2 2 8" xfId="97"/>
    <cellStyle name="20% - Accent2 2 9" xfId="98"/>
    <cellStyle name="20% - Accent3 2" xfId="99"/>
    <cellStyle name="20% - Accent3 2 10" xfId="100"/>
    <cellStyle name="20% - Accent3 2 11" xfId="101"/>
    <cellStyle name="20% - Accent3 2 12" xfId="102"/>
    <cellStyle name="20% - Accent3 2 13" xfId="103"/>
    <cellStyle name="20% - Accent3 2 14" xfId="104"/>
    <cellStyle name="20% - Accent3 2 15" xfId="105"/>
    <cellStyle name="20% - Accent3 2 16" xfId="106"/>
    <cellStyle name="20% - Accent3 2 17" xfId="107"/>
    <cellStyle name="20% - Accent3 2 18" xfId="108"/>
    <cellStyle name="20% - Accent3 2 19" xfId="109"/>
    <cellStyle name="20% - Accent3 2 2" xfId="110"/>
    <cellStyle name="20% - Accent3 2 20" xfId="111"/>
    <cellStyle name="20% - Accent3 2 21" xfId="112"/>
    <cellStyle name="20% - Accent3 2 22" xfId="113"/>
    <cellStyle name="20% - Accent3 2 23" xfId="114"/>
    <cellStyle name="20% - Accent3 2 24" xfId="115"/>
    <cellStyle name="20% - Accent3 2 25" xfId="116"/>
    <cellStyle name="20% - Accent3 2 26" xfId="117"/>
    <cellStyle name="20% - Accent3 2 27" xfId="118"/>
    <cellStyle name="20% - Accent3 2 28" xfId="119"/>
    <cellStyle name="20% - Accent3 2 29" xfId="120"/>
    <cellStyle name="20% - Accent3 2 3" xfId="121"/>
    <cellStyle name="20% - Accent3 2 30" xfId="122"/>
    <cellStyle name="20% - Accent3 2 31" xfId="123"/>
    <cellStyle name="20% - Accent3 2 32" xfId="124"/>
    <cellStyle name="20% - Accent3 2 33" xfId="125"/>
    <cellStyle name="20% - Accent3 2 34" xfId="126"/>
    <cellStyle name="20% - Accent3 2 35" xfId="127"/>
    <cellStyle name="20% - Accent3 2 36" xfId="128"/>
    <cellStyle name="20% - Accent3 2 37" xfId="129"/>
    <cellStyle name="20% - Accent3 2 38" xfId="130"/>
    <cellStyle name="20% - Accent3 2 39" xfId="131"/>
    <cellStyle name="20% - Accent3 2 4" xfId="132"/>
    <cellStyle name="20% - Accent3 2 40" xfId="133"/>
    <cellStyle name="20% - Accent3 2 41" xfId="134"/>
    <cellStyle name="20% - Accent3 2 42" xfId="135"/>
    <cellStyle name="20% - Accent3 2 43" xfId="136"/>
    <cellStyle name="20% - Accent3 2 44" xfId="137"/>
    <cellStyle name="20% - Accent3 2 45" xfId="138"/>
    <cellStyle name="20% - Accent3 2 46" xfId="139"/>
    <cellStyle name="20% - Accent3 2 47" xfId="140"/>
    <cellStyle name="20% - Accent3 2 48" xfId="141"/>
    <cellStyle name="20% - Accent3 2 49" xfId="142"/>
    <cellStyle name="20% - Accent3 2 5" xfId="143"/>
    <cellStyle name="20% - Accent3 2 6" xfId="144"/>
    <cellStyle name="20% - Accent3 2 7" xfId="145"/>
    <cellStyle name="20% - Accent3 2 8" xfId="146"/>
    <cellStyle name="20% - Accent3 2 9" xfId="147"/>
    <cellStyle name="20% - Accent4 2" xfId="148"/>
    <cellStyle name="20% - Accent4 2 10" xfId="149"/>
    <cellStyle name="20% - Accent4 2 11" xfId="150"/>
    <cellStyle name="20% - Accent4 2 12" xfId="151"/>
    <cellStyle name="20% - Accent4 2 13" xfId="152"/>
    <cellStyle name="20% - Accent4 2 14" xfId="153"/>
    <cellStyle name="20% - Accent4 2 15" xfId="154"/>
    <cellStyle name="20% - Accent4 2 16" xfId="155"/>
    <cellStyle name="20% - Accent4 2 17" xfId="156"/>
    <cellStyle name="20% - Accent4 2 18" xfId="157"/>
    <cellStyle name="20% - Accent4 2 19" xfId="158"/>
    <cellStyle name="20% - Accent4 2 2" xfId="159"/>
    <cellStyle name="20% - Accent4 2 20" xfId="160"/>
    <cellStyle name="20% - Accent4 2 21" xfId="161"/>
    <cellStyle name="20% - Accent4 2 22" xfId="162"/>
    <cellStyle name="20% - Accent4 2 23" xfId="163"/>
    <cellStyle name="20% - Accent4 2 24" xfId="164"/>
    <cellStyle name="20% - Accent4 2 25" xfId="165"/>
    <cellStyle name="20% - Accent4 2 26" xfId="166"/>
    <cellStyle name="20% - Accent4 2 27" xfId="167"/>
    <cellStyle name="20% - Accent4 2 28" xfId="168"/>
    <cellStyle name="20% - Accent4 2 29" xfId="169"/>
    <cellStyle name="20% - Accent4 2 3" xfId="170"/>
    <cellStyle name="20% - Accent4 2 30" xfId="171"/>
    <cellStyle name="20% - Accent4 2 31" xfId="172"/>
    <cellStyle name="20% - Accent4 2 32" xfId="173"/>
    <cellStyle name="20% - Accent4 2 33" xfId="174"/>
    <cellStyle name="20% - Accent4 2 34" xfId="175"/>
    <cellStyle name="20% - Accent4 2 35" xfId="176"/>
    <cellStyle name="20% - Accent4 2 36" xfId="177"/>
    <cellStyle name="20% - Accent4 2 37" xfId="178"/>
    <cellStyle name="20% - Accent4 2 38" xfId="179"/>
    <cellStyle name="20% - Accent4 2 39" xfId="180"/>
    <cellStyle name="20% - Accent4 2 4" xfId="181"/>
    <cellStyle name="20% - Accent4 2 40" xfId="182"/>
    <cellStyle name="20% - Accent4 2 41" xfId="183"/>
    <cellStyle name="20% - Accent4 2 42" xfId="184"/>
    <cellStyle name="20% - Accent4 2 43" xfId="185"/>
    <cellStyle name="20% - Accent4 2 44" xfId="186"/>
    <cellStyle name="20% - Accent4 2 45" xfId="187"/>
    <cellStyle name="20% - Accent4 2 46" xfId="188"/>
    <cellStyle name="20% - Accent4 2 47" xfId="189"/>
    <cellStyle name="20% - Accent4 2 48" xfId="190"/>
    <cellStyle name="20% - Accent4 2 49" xfId="191"/>
    <cellStyle name="20% - Accent4 2 5" xfId="192"/>
    <cellStyle name="20% - Accent4 2 6" xfId="193"/>
    <cellStyle name="20% - Accent4 2 7" xfId="194"/>
    <cellStyle name="20% - Accent4 2 8" xfId="195"/>
    <cellStyle name="20% - Accent4 2 9" xfId="196"/>
    <cellStyle name="20% - Accent5" xfId="197" builtinId="46" customBuiltin="1"/>
    <cellStyle name="20% - Accent6 2" xfId="198"/>
    <cellStyle name="20% - Accent6 2 10" xfId="199"/>
    <cellStyle name="20% - Accent6 2 11" xfId="200"/>
    <cellStyle name="20% - Accent6 2 12" xfId="201"/>
    <cellStyle name="20% - Accent6 2 13" xfId="202"/>
    <cellStyle name="20% - Accent6 2 14" xfId="203"/>
    <cellStyle name="20% - Accent6 2 15" xfId="204"/>
    <cellStyle name="20% - Accent6 2 16" xfId="205"/>
    <cellStyle name="20% - Accent6 2 17" xfId="206"/>
    <cellStyle name="20% - Accent6 2 18" xfId="207"/>
    <cellStyle name="20% - Accent6 2 19" xfId="208"/>
    <cellStyle name="20% - Accent6 2 2" xfId="209"/>
    <cellStyle name="20% - Accent6 2 20" xfId="210"/>
    <cellStyle name="20% - Accent6 2 21" xfId="211"/>
    <cellStyle name="20% - Accent6 2 22" xfId="212"/>
    <cellStyle name="20% - Accent6 2 23" xfId="213"/>
    <cellStyle name="20% - Accent6 2 24" xfId="214"/>
    <cellStyle name="20% - Accent6 2 25" xfId="215"/>
    <cellStyle name="20% - Accent6 2 26" xfId="216"/>
    <cellStyle name="20% - Accent6 2 27" xfId="217"/>
    <cellStyle name="20% - Accent6 2 28" xfId="218"/>
    <cellStyle name="20% - Accent6 2 29" xfId="219"/>
    <cellStyle name="20% - Accent6 2 3" xfId="220"/>
    <cellStyle name="20% - Accent6 2 30" xfId="221"/>
    <cellStyle name="20% - Accent6 2 31" xfId="222"/>
    <cellStyle name="20% - Accent6 2 32" xfId="223"/>
    <cellStyle name="20% - Accent6 2 33" xfId="224"/>
    <cellStyle name="20% - Accent6 2 34" xfId="225"/>
    <cellStyle name="20% - Accent6 2 35" xfId="226"/>
    <cellStyle name="20% - Accent6 2 36" xfId="227"/>
    <cellStyle name="20% - Accent6 2 37" xfId="228"/>
    <cellStyle name="20% - Accent6 2 38" xfId="229"/>
    <cellStyle name="20% - Accent6 2 39" xfId="230"/>
    <cellStyle name="20% - Accent6 2 4" xfId="231"/>
    <cellStyle name="20% - Accent6 2 40" xfId="232"/>
    <cellStyle name="20% - Accent6 2 41" xfId="233"/>
    <cellStyle name="20% - Accent6 2 42" xfId="234"/>
    <cellStyle name="20% - Accent6 2 43" xfId="235"/>
    <cellStyle name="20% - Accent6 2 44" xfId="236"/>
    <cellStyle name="20% - Accent6 2 45" xfId="237"/>
    <cellStyle name="20% - Accent6 2 46" xfId="238"/>
    <cellStyle name="20% - Accent6 2 47" xfId="239"/>
    <cellStyle name="20% - Accent6 2 48" xfId="240"/>
    <cellStyle name="20% - Accent6 2 49" xfId="241"/>
    <cellStyle name="20% - Accent6 2 5" xfId="242"/>
    <cellStyle name="20% - Accent6 2 6" xfId="243"/>
    <cellStyle name="20% - Accent6 2 7" xfId="244"/>
    <cellStyle name="20% - Accent6 2 8" xfId="245"/>
    <cellStyle name="20% - Accent6 2 9" xfId="246"/>
    <cellStyle name="40% - Accent1 2" xfId="247"/>
    <cellStyle name="40% - Accent1 2 10" xfId="248"/>
    <cellStyle name="40% - Accent1 2 11" xfId="249"/>
    <cellStyle name="40% - Accent1 2 12" xfId="250"/>
    <cellStyle name="40% - Accent1 2 13" xfId="251"/>
    <cellStyle name="40% - Accent1 2 14" xfId="252"/>
    <cellStyle name="40% - Accent1 2 15" xfId="253"/>
    <cellStyle name="40% - Accent1 2 16" xfId="254"/>
    <cellStyle name="40% - Accent1 2 17" xfId="255"/>
    <cellStyle name="40% - Accent1 2 18" xfId="256"/>
    <cellStyle name="40% - Accent1 2 19" xfId="257"/>
    <cellStyle name="40% - Accent1 2 2" xfId="258"/>
    <cellStyle name="40% - Accent1 2 20" xfId="259"/>
    <cellStyle name="40% - Accent1 2 21" xfId="260"/>
    <cellStyle name="40% - Accent1 2 22" xfId="261"/>
    <cellStyle name="40% - Accent1 2 23" xfId="262"/>
    <cellStyle name="40% - Accent1 2 24" xfId="263"/>
    <cellStyle name="40% - Accent1 2 25" xfId="264"/>
    <cellStyle name="40% - Accent1 2 26" xfId="265"/>
    <cellStyle name="40% - Accent1 2 27" xfId="266"/>
    <cellStyle name="40% - Accent1 2 28" xfId="267"/>
    <cellStyle name="40% - Accent1 2 29" xfId="268"/>
    <cellStyle name="40% - Accent1 2 3" xfId="269"/>
    <cellStyle name="40% - Accent1 2 30" xfId="270"/>
    <cellStyle name="40% - Accent1 2 31" xfId="271"/>
    <cellStyle name="40% - Accent1 2 32" xfId="272"/>
    <cellStyle name="40% - Accent1 2 33" xfId="273"/>
    <cellStyle name="40% - Accent1 2 34" xfId="274"/>
    <cellStyle name="40% - Accent1 2 35" xfId="275"/>
    <cellStyle name="40% - Accent1 2 36" xfId="276"/>
    <cellStyle name="40% - Accent1 2 37" xfId="277"/>
    <cellStyle name="40% - Accent1 2 38" xfId="278"/>
    <cellStyle name="40% - Accent1 2 39" xfId="279"/>
    <cellStyle name="40% - Accent1 2 4" xfId="280"/>
    <cellStyle name="40% - Accent1 2 40" xfId="281"/>
    <cellStyle name="40% - Accent1 2 41" xfId="282"/>
    <cellStyle name="40% - Accent1 2 42" xfId="283"/>
    <cellStyle name="40% - Accent1 2 43" xfId="284"/>
    <cellStyle name="40% - Accent1 2 44" xfId="285"/>
    <cellStyle name="40% - Accent1 2 45" xfId="286"/>
    <cellStyle name="40% - Accent1 2 46" xfId="287"/>
    <cellStyle name="40% - Accent1 2 47" xfId="288"/>
    <cellStyle name="40% - Accent1 2 48" xfId="289"/>
    <cellStyle name="40% - Accent1 2 49" xfId="290"/>
    <cellStyle name="40% - Accent1 2 5" xfId="291"/>
    <cellStyle name="40% - Accent1 2 6" xfId="292"/>
    <cellStyle name="40% - Accent1 2 7" xfId="293"/>
    <cellStyle name="40% - Accent1 2 8" xfId="294"/>
    <cellStyle name="40% - Accent1 2 9" xfId="295"/>
    <cellStyle name="40% - Accent2" xfId="296" builtinId="35" customBuiltin="1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14" xfId="302"/>
    <cellStyle name="40% - Accent3 2 15" xfId="303"/>
    <cellStyle name="40% - Accent3 2 16" xfId="304"/>
    <cellStyle name="40% - Accent3 2 17" xfId="305"/>
    <cellStyle name="40% - Accent3 2 18" xfId="306"/>
    <cellStyle name="40% - Accent3 2 19" xfId="307"/>
    <cellStyle name="40% - Accent3 2 2" xfId="308"/>
    <cellStyle name="40% - Accent3 2 20" xfId="309"/>
    <cellStyle name="40% - Accent3 2 21" xfId="310"/>
    <cellStyle name="40% - Accent3 2 22" xfId="311"/>
    <cellStyle name="40% - Accent3 2 23" xfId="312"/>
    <cellStyle name="40% - Accent3 2 24" xfId="313"/>
    <cellStyle name="40% - Accent3 2 25" xfId="314"/>
    <cellStyle name="40% - Accent3 2 26" xfId="315"/>
    <cellStyle name="40% - Accent3 2 27" xfId="316"/>
    <cellStyle name="40% - Accent3 2 28" xfId="317"/>
    <cellStyle name="40% - Accent3 2 29" xfId="318"/>
    <cellStyle name="40% - Accent3 2 3" xfId="319"/>
    <cellStyle name="40% - Accent3 2 30" xfId="320"/>
    <cellStyle name="40% - Accent3 2 31" xfId="321"/>
    <cellStyle name="40% - Accent3 2 32" xfId="322"/>
    <cellStyle name="40% - Accent3 2 33" xfId="323"/>
    <cellStyle name="40% - Accent3 2 34" xfId="324"/>
    <cellStyle name="40% - Accent3 2 35" xfId="325"/>
    <cellStyle name="40% - Accent3 2 36" xfId="326"/>
    <cellStyle name="40% - Accent3 2 37" xfId="327"/>
    <cellStyle name="40% - Accent3 2 38" xfId="328"/>
    <cellStyle name="40% - Accent3 2 39" xfId="329"/>
    <cellStyle name="40% - Accent3 2 4" xfId="330"/>
    <cellStyle name="40% - Accent3 2 40" xfId="331"/>
    <cellStyle name="40% - Accent3 2 41" xfId="332"/>
    <cellStyle name="40% - Accent3 2 42" xfId="333"/>
    <cellStyle name="40% - Accent3 2 43" xfId="334"/>
    <cellStyle name="40% - Accent3 2 44" xfId="335"/>
    <cellStyle name="40% - Accent3 2 45" xfId="336"/>
    <cellStyle name="40% - Accent3 2 46" xfId="337"/>
    <cellStyle name="40% - Accent3 2 47" xfId="338"/>
    <cellStyle name="40% - Accent3 2 48" xfId="339"/>
    <cellStyle name="40% - Accent3 2 49" xfId="340"/>
    <cellStyle name="40% - Accent3 2 5" xfId="341"/>
    <cellStyle name="40% - Accent3 2 6" xfId="342"/>
    <cellStyle name="40% - Accent3 2 7" xfId="343"/>
    <cellStyle name="40% - Accent3 2 8" xfId="344"/>
    <cellStyle name="40% - Accent3 2 9" xfId="345"/>
    <cellStyle name="40% - Accent4 2" xfId="346"/>
    <cellStyle name="40% - Accent4 2 10" xfId="347"/>
    <cellStyle name="40% - Accent4 2 11" xfId="348"/>
    <cellStyle name="40% - Accent4 2 12" xfId="349"/>
    <cellStyle name="40% - Accent4 2 13" xfId="350"/>
    <cellStyle name="40% - Accent4 2 14" xfId="351"/>
    <cellStyle name="40% - Accent4 2 15" xfId="352"/>
    <cellStyle name="40% - Accent4 2 16" xfId="353"/>
    <cellStyle name="40% - Accent4 2 17" xfId="354"/>
    <cellStyle name="40% - Accent4 2 18" xfId="355"/>
    <cellStyle name="40% - Accent4 2 19" xfId="356"/>
    <cellStyle name="40% - Accent4 2 2" xfId="357"/>
    <cellStyle name="40% - Accent4 2 20" xfId="358"/>
    <cellStyle name="40% - Accent4 2 21" xfId="359"/>
    <cellStyle name="40% - Accent4 2 22" xfId="360"/>
    <cellStyle name="40% - Accent4 2 23" xfId="361"/>
    <cellStyle name="40% - Accent4 2 24" xfId="362"/>
    <cellStyle name="40% - Accent4 2 25" xfId="363"/>
    <cellStyle name="40% - Accent4 2 26" xfId="364"/>
    <cellStyle name="40% - Accent4 2 27" xfId="365"/>
    <cellStyle name="40% - Accent4 2 28" xfId="366"/>
    <cellStyle name="40% - Accent4 2 29" xfId="367"/>
    <cellStyle name="40% - Accent4 2 3" xfId="368"/>
    <cellStyle name="40% - Accent4 2 30" xfId="369"/>
    <cellStyle name="40% - Accent4 2 31" xfId="370"/>
    <cellStyle name="40% - Accent4 2 32" xfId="371"/>
    <cellStyle name="40% - Accent4 2 33" xfId="372"/>
    <cellStyle name="40% - Accent4 2 34" xfId="373"/>
    <cellStyle name="40% - Accent4 2 35" xfId="374"/>
    <cellStyle name="40% - Accent4 2 36" xfId="375"/>
    <cellStyle name="40% - Accent4 2 37" xfId="376"/>
    <cellStyle name="40% - Accent4 2 38" xfId="377"/>
    <cellStyle name="40% - Accent4 2 39" xfId="378"/>
    <cellStyle name="40% - Accent4 2 4" xfId="379"/>
    <cellStyle name="40% - Accent4 2 40" xfId="380"/>
    <cellStyle name="40% - Accent4 2 41" xfId="381"/>
    <cellStyle name="40% - Accent4 2 42" xfId="382"/>
    <cellStyle name="40% - Accent4 2 43" xfId="383"/>
    <cellStyle name="40% - Accent4 2 44" xfId="384"/>
    <cellStyle name="40% - Accent4 2 45" xfId="385"/>
    <cellStyle name="40% - Accent4 2 46" xfId="386"/>
    <cellStyle name="40% - Accent4 2 47" xfId="387"/>
    <cellStyle name="40% - Accent4 2 48" xfId="388"/>
    <cellStyle name="40% - Accent4 2 49" xfId="389"/>
    <cellStyle name="40% - Accent4 2 5" xfId="390"/>
    <cellStyle name="40% - Accent4 2 6" xfId="391"/>
    <cellStyle name="40% - Accent4 2 7" xfId="392"/>
    <cellStyle name="40% - Accent4 2 8" xfId="393"/>
    <cellStyle name="40% - Accent4 2 9" xfId="394"/>
    <cellStyle name="40% - Accent5 2" xfId="395"/>
    <cellStyle name="40% - Accent5 2 10" xfId="396"/>
    <cellStyle name="40% - Accent5 2 11" xfId="397"/>
    <cellStyle name="40% - Accent5 2 12" xfId="398"/>
    <cellStyle name="40% - Accent5 2 13" xfId="399"/>
    <cellStyle name="40% - Accent5 2 14" xfId="400"/>
    <cellStyle name="40% - Accent5 2 15" xfId="401"/>
    <cellStyle name="40% - Accent5 2 16" xfId="402"/>
    <cellStyle name="40% - Accent5 2 17" xfId="403"/>
    <cellStyle name="40% - Accent5 2 18" xfId="404"/>
    <cellStyle name="40% - Accent5 2 19" xfId="405"/>
    <cellStyle name="40% - Accent5 2 2" xfId="406"/>
    <cellStyle name="40% - Accent5 2 20" xfId="407"/>
    <cellStyle name="40% - Accent5 2 21" xfId="408"/>
    <cellStyle name="40% - Accent5 2 22" xfId="409"/>
    <cellStyle name="40% - Accent5 2 23" xfId="410"/>
    <cellStyle name="40% - Accent5 2 24" xfId="411"/>
    <cellStyle name="40% - Accent5 2 25" xfId="412"/>
    <cellStyle name="40% - Accent5 2 26" xfId="413"/>
    <cellStyle name="40% - Accent5 2 27" xfId="414"/>
    <cellStyle name="40% - Accent5 2 28" xfId="415"/>
    <cellStyle name="40% - Accent5 2 29" xfId="416"/>
    <cellStyle name="40% - Accent5 2 3" xfId="417"/>
    <cellStyle name="40% - Accent5 2 30" xfId="418"/>
    <cellStyle name="40% - Accent5 2 31" xfId="419"/>
    <cellStyle name="40% - Accent5 2 32" xfId="420"/>
    <cellStyle name="40% - Accent5 2 33" xfId="421"/>
    <cellStyle name="40% - Accent5 2 34" xfId="422"/>
    <cellStyle name="40% - Accent5 2 35" xfId="423"/>
    <cellStyle name="40% - Accent5 2 36" xfId="424"/>
    <cellStyle name="40% - Accent5 2 37" xfId="425"/>
    <cellStyle name="40% - Accent5 2 38" xfId="426"/>
    <cellStyle name="40% - Accent5 2 39" xfId="427"/>
    <cellStyle name="40% - Accent5 2 4" xfId="428"/>
    <cellStyle name="40% - Accent5 2 40" xfId="429"/>
    <cellStyle name="40% - Accent5 2 41" xfId="430"/>
    <cellStyle name="40% - Accent5 2 42" xfId="431"/>
    <cellStyle name="40% - Accent5 2 43" xfId="432"/>
    <cellStyle name="40% - Accent5 2 44" xfId="433"/>
    <cellStyle name="40% - Accent5 2 45" xfId="434"/>
    <cellStyle name="40% - Accent5 2 46" xfId="435"/>
    <cellStyle name="40% - Accent5 2 47" xfId="436"/>
    <cellStyle name="40% - Accent5 2 48" xfId="437"/>
    <cellStyle name="40% - Accent5 2 49" xfId="438"/>
    <cellStyle name="40% - Accent5 2 5" xfId="439"/>
    <cellStyle name="40% - Accent5 2 6" xfId="440"/>
    <cellStyle name="40% - Accent5 2 7" xfId="441"/>
    <cellStyle name="40% - Accent5 2 8" xfId="442"/>
    <cellStyle name="40% - Accent5 2 9" xfId="443"/>
    <cellStyle name="40% - Accent6 2" xfId="444"/>
    <cellStyle name="40% - Accent6 2 10" xfId="445"/>
    <cellStyle name="40% - Accent6 2 11" xfId="446"/>
    <cellStyle name="40% - Accent6 2 12" xfId="447"/>
    <cellStyle name="40% - Accent6 2 13" xfId="448"/>
    <cellStyle name="40% - Accent6 2 14" xfId="449"/>
    <cellStyle name="40% - Accent6 2 15" xfId="450"/>
    <cellStyle name="40% - Accent6 2 16" xfId="451"/>
    <cellStyle name="40% - Accent6 2 17" xfId="452"/>
    <cellStyle name="40% - Accent6 2 18" xfId="453"/>
    <cellStyle name="40% - Accent6 2 19" xfId="454"/>
    <cellStyle name="40% - Accent6 2 2" xfId="455"/>
    <cellStyle name="40% - Accent6 2 20" xfId="456"/>
    <cellStyle name="40% - Accent6 2 21" xfId="457"/>
    <cellStyle name="40% - Accent6 2 22" xfId="458"/>
    <cellStyle name="40% - Accent6 2 23" xfId="459"/>
    <cellStyle name="40% - Accent6 2 24" xfId="460"/>
    <cellStyle name="40% - Accent6 2 25" xfId="461"/>
    <cellStyle name="40% - Accent6 2 26" xfId="462"/>
    <cellStyle name="40% - Accent6 2 27" xfId="463"/>
    <cellStyle name="40% - Accent6 2 28" xfId="464"/>
    <cellStyle name="40% - Accent6 2 29" xfId="465"/>
    <cellStyle name="40% - Accent6 2 3" xfId="466"/>
    <cellStyle name="40% - Accent6 2 30" xfId="467"/>
    <cellStyle name="40% - Accent6 2 31" xfId="468"/>
    <cellStyle name="40% - Accent6 2 32" xfId="469"/>
    <cellStyle name="40% - Accent6 2 33" xfId="470"/>
    <cellStyle name="40% - Accent6 2 34" xfId="471"/>
    <cellStyle name="40% - Accent6 2 35" xfId="472"/>
    <cellStyle name="40% - Accent6 2 36" xfId="473"/>
    <cellStyle name="40% - Accent6 2 37" xfId="474"/>
    <cellStyle name="40% - Accent6 2 38" xfId="475"/>
    <cellStyle name="40% - Accent6 2 39" xfId="476"/>
    <cellStyle name="40% - Accent6 2 4" xfId="477"/>
    <cellStyle name="40% - Accent6 2 40" xfId="478"/>
    <cellStyle name="40% - Accent6 2 41" xfId="479"/>
    <cellStyle name="40% - Accent6 2 42" xfId="480"/>
    <cellStyle name="40% - Accent6 2 43" xfId="481"/>
    <cellStyle name="40% - Accent6 2 44" xfId="482"/>
    <cellStyle name="40% - Accent6 2 45" xfId="483"/>
    <cellStyle name="40% - Accent6 2 46" xfId="484"/>
    <cellStyle name="40% - Accent6 2 47" xfId="485"/>
    <cellStyle name="40% - Accent6 2 48" xfId="486"/>
    <cellStyle name="40% - Accent6 2 49" xfId="487"/>
    <cellStyle name="40% - Accent6 2 5" xfId="488"/>
    <cellStyle name="40% - Accent6 2 6" xfId="489"/>
    <cellStyle name="40% - Accent6 2 7" xfId="490"/>
    <cellStyle name="40% - Accent6 2 8" xfId="491"/>
    <cellStyle name="40% - Accent6 2 9" xfId="492"/>
    <cellStyle name="60% - Accent1 2" xfId="493"/>
    <cellStyle name="60% - Accent1 2 10" xfId="494"/>
    <cellStyle name="60% - Accent1 2 11" xfId="495"/>
    <cellStyle name="60% - Accent1 2 12" xfId="496"/>
    <cellStyle name="60% - Accent1 2 13" xfId="497"/>
    <cellStyle name="60% - Accent1 2 14" xfId="498"/>
    <cellStyle name="60% - Accent1 2 15" xfId="499"/>
    <cellStyle name="60% - Accent1 2 16" xfId="500"/>
    <cellStyle name="60% - Accent1 2 17" xfId="501"/>
    <cellStyle name="60% - Accent1 2 18" xfId="502"/>
    <cellStyle name="60% - Accent1 2 19" xfId="503"/>
    <cellStyle name="60% - Accent1 2 2" xfId="504"/>
    <cellStyle name="60% - Accent1 2 20" xfId="505"/>
    <cellStyle name="60% - Accent1 2 21" xfId="506"/>
    <cellStyle name="60% - Accent1 2 22" xfId="507"/>
    <cellStyle name="60% - Accent1 2 23" xfId="508"/>
    <cellStyle name="60% - Accent1 2 24" xfId="509"/>
    <cellStyle name="60% - Accent1 2 25" xfId="510"/>
    <cellStyle name="60% - Accent1 2 26" xfId="511"/>
    <cellStyle name="60% - Accent1 2 27" xfId="512"/>
    <cellStyle name="60% - Accent1 2 28" xfId="513"/>
    <cellStyle name="60% - Accent1 2 29" xfId="514"/>
    <cellStyle name="60% - Accent1 2 3" xfId="515"/>
    <cellStyle name="60% - Accent1 2 30" xfId="516"/>
    <cellStyle name="60% - Accent1 2 31" xfId="517"/>
    <cellStyle name="60% - Accent1 2 32" xfId="518"/>
    <cellStyle name="60% - Accent1 2 33" xfId="519"/>
    <cellStyle name="60% - Accent1 2 34" xfId="520"/>
    <cellStyle name="60% - Accent1 2 35" xfId="521"/>
    <cellStyle name="60% - Accent1 2 36" xfId="522"/>
    <cellStyle name="60% - Accent1 2 37" xfId="523"/>
    <cellStyle name="60% - Accent1 2 38" xfId="524"/>
    <cellStyle name="60% - Accent1 2 39" xfId="525"/>
    <cellStyle name="60% - Accent1 2 4" xfId="526"/>
    <cellStyle name="60% - Accent1 2 40" xfId="527"/>
    <cellStyle name="60% - Accent1 2 41" xfId="528"/>
    <cellStyle name="60% - Accent1 2 42" xfId="529"/>
    <cellStyle name="60% - Accent1 2 43" xfId="530"/>
    <cellStyle name="60% - Accent1 2 44" xfId="531"/>
    <cellStyle name="60% - Accent1 2 45" xfId="532"/>
    <cellStyle name="60% - Accent1 2 46" xfId="533"/>
    <cellStyle name="60% - Accent1 2 47" xfId="534"/>
    <cellStyle name="60% - Accent1 2 48" xfId="535"/>
    <cellStyle name="60% - Accent1 2 49" xfId="536"/>
    <cellStyle name="60% - Accent1 2 5" xfId="537"/>
    <cellStyle name="60% - Accent1 2 6" xfId="538"/>
    <cellStyle name="60% - Accent1 2 7" xfId="539"/>
    <cellStyle name="60% - Accent1 2 8" xfId="540"/>
    <cellStyle name="60% - Accent1 2 9" xfId="541"/>
    <cellStyle name="60% - Accent2 2" xfId="542"/>
    <cellStyle name="60% - Accent2 2 10" xfId="543"/>
    <cellStyle name="60% - Accent2 2 11" xfId="544"/>
    <cellStyle name="60% - Accent2 2 12" xfId="545"/>
    <cellStyle name="60% - Accent2 2 13" xfId="546"/>
    <cellStyle name="60% - Accent2 2 14" xfId="547"/>
    <cellStyle name="60% - Accent2 2 15" xfId="548"/>
    <cellStyle name="60% - Accent2 2 16" xfId="549"/>
    <cellStyle name="60% - Accent2 2 17" xfId="550"/>
    <cellStyle name="60% - Accent2 2 18" xfId="551"/>
    <cellStyle name="60% - Accent2 2 19" xfId="552"/>
    <cellStyle name="60% - Accent2 2 2" xfId="553"/>
    <cellStyle name="60% - Accent2 2 20" xfId="554"/>
    <cellStyle name="60% - Accent2 2 21" xfId="555"/>
    <cellStyle name="60% - Accent2 2 22" xfId="556"/>
    <cellStyle name="60% - Accent2 2 23" xfId="557"/>
    <cellStyle name="60% - Accent2 2 24" xfId="558"/>
    <cellStyle name="60% - Accent2 2 25" xfId="559"/>
    <cellStyle name="60% - Accent2 2 26" xfId="560"/>
    <cellStyle name="60% - Accent2 2 27" xfId="561"/>
    <cellStyle name="60% - Accent2 2 28" xfId="562"/>
    <cellStyle name="60% - Accent2 2 29" xfId="563"/>
    <cellStyle name="60% - Accent2 2 3" xfId="564"/>
    <cellStyle name="60% - Accent2 2 30" xfId="565"/>
    <cellStyle name="60% - Accent2 2 31" xfId="566"/>
    <cellStyle name="60% - Accent2 2 32" xfId="567"/>
    <cellStyle name="60% - Accent2 2 33" xfId="568"/>
    <cellStyle name="60% - Accent2 2 34" xfId="569"/>
    <cellStyle name="60% - Accent2 2 35" xfId="570"/>
    <cellStyle name="60% - Accent2 2 36" xfId="571"/>
    <cellStyle name="60% - Accent2 2 37" xfId="572"/>
    <cellStyle name="60% - Accent2 2 38" xfId="573"/>
    <cellStyle name="60% - Accent2 2 39" xfId="574"/>
    <cellStyle name="60% - Accent2 2 4" xfId="575"/>
    <cellStyle name="60% - Accent2 2 40" xfId="576"/>
    <cellStyle name="60% - Accent2 2 41" xfId="577"/>
    <cellStyle name="60% - Accent2 2 42" xfId="578"/>
    <cellStyle name="60% - Accent2 2 43" xfId="579"/>
    <cellStyle name="60% - Accent2 2 44" xfId="580"/>
    <cellStyle name="60% - Accent2 2 45" xfId="581"/>
    <cellStyle name="60% - Accent2 2 46" xfId="582"/>
    <cellStyle name="60% - Accent2 2 47" xfId="583"/>
    <cellStyle name="60% - Accent2 2 48" xfId="584"/>
    <cellStyle name="60% - Accent2 2 49" xfId="585"/>
    <cellStyle name="60% - Accent2 2 5" xfId="586"/>
    <cellStyle name="60% - Accent2 2 6" xfId="587"/>
    <cellStyle name="60% - Accent2 2 7" xfId="588"/>
    <cellStyle name="60% - Accent2 2 8" xfId="589"/>
    <cellStyle name="60% - Accent2 2 9" xfId="590"/>
    <cellStyle name="60% - Accent3 2" xfId="591"/>
    <cellStyle name="60% - Accent3 2 10" xfId="592"/>
    <cellStyle name="60% - Accent3 2 11" xfId="593"/>
    <cellStyle name="60% - Accent3 2 12" xfId="594"/>
    <cellStyle name="60% - Accent3 2 13" xfId="595"/>
    <cellStyle name="60% - Accent3 2 14" xfId="596"/>
    <cellStyle name="60% - Accent3 2 15" xfId="597"/>
    <cellStyle name="60% - Accent3 2 16" xfId="598"/>
    <cellStyle name="60% - Accent3 2 17" xfId="599"/>
    <cellStyle name="60% - Accent3 2 18" xfId="600"/>
    <cellStyle name="60% - Accent3 2 19" xfId="601"/>
    <cellStyle name="60% - Accent3 2 2" xfId="602"/>
    <cellStyle name="60% - Accent3 2 20" xfId="603"/>
    <cellStyle name="60% - Accent3 2 21" xfId="604"/>
    <cellStyle name="60% - Accent3 2 22" xfId="605"/>
    <cellStyle name="60% - Accent3 2 23" xfId="606"/>
    <cellStyle name="60% - Accent3 2 24" xfId="607"/>
    <cellStyle name="60% - Accent3 2 25" xfId="608"/>
    <cellStyle name="60% - Accent3 2 26" xfId="609"/>
    <cellStyle name="60% - Accent3 2 27" xfId="610"/>
    <cellStyle name="60% - Accent3 2 28" xfId="611"/>
    <cellStyle name="60% - Accent3 2 29" xfId="612"/>
    <cellStyle name="60% - Accent3 2 3" xfId="613"/>
    <cellStyle name="60% - Accent3 2 30" xfId="614"/>
    <cellStyle name="60% - Accent3 2 31" xfId="615"/>
    <cellStyle name="60% - Accent3 2 32" xfId="616"/>
    <cellStyle name="60% - Accent3 2 33" xfId="617"/>
    <cellStyle name="60% - Accent3 2 34" xfId="618"/>
    <cellStyle name="60% - Accent3 2 35" xfId="619"/>
    <cellStyle name="60% - Accent3 2 36" xfId="620"/>
    <cellStyle name="60% - Accent3 2 37" xfId="621"/>
    <cellStyle name="60% - Accent3 2 38" xfId="622"/>
    <cellStyle name="60% - Accent3 2 39" xfId="623"/>
    <cellStyle name="60% - Accent3 2 4" xfId="624"/>
    <cellStyle name="60% - Accent3 2 40" xfId="625"/>
    <cellStyle name="60% - Accent3 2 41" xfId="626"/>
    <cellStyle name="60% - Accent3 2 42" xfId="627"/>
    <cellStyle name="60% - Accent3 2 43" xfId="628"/>
    <cellStyle name="60% - Accent3 2 44" xfId="629"/>
    <cellStyle name="60% - Accent3 2 45" xfId="630"/>
    <cellStyle name="60% - Accent3 2 46" xfId="631"/>
    <cellStyle name="60% - Accent3 2 47" xfId="632"/>
    <cellStyle name="60% - Accent3 2 48" xfId="633"/>
    <cellStyle name="60% - Accent3 2 49" xfId="634"/>
    <cellStyle name="60% - Accent3 2 5" xfId="635"/>
    <cellStyle name="60% - Accent3 2 6" xfId="636"/>
    <cellStyle name="60% - Accent3 2 7" xfId="637"/>
    <cellStyle name="60% - Accent3 2 8" xfId="638"/>
    <cellStyle name="60% - Accent3 2 9" xfId="639"/>
    <cellStyle name="60% - Accent4 2" xfId="640"/>
    <cellStyle name="60% - Accent4 2 10" xfId="641"/>
    <cellStyle name="60% - Accent4 2 11" xfId="642"/>
    <cellStyle name="60% - Accent4 2 12" xfId="643"/>
    <cellStyle name="60% - Accent4 2 13" xfId="644"/>
    <cellStyle name="60% - Accent4 2 14" xfId="645"/>
    <cellStyle name="60% - Accent4 2 15" xfId="646"/>
    <cellStyle name="60% - Accent4 2 16" xfId="647"/>
    <cellStyle name="60% - Accent4 2 17" xfId="648"/>
    <cellStyle name="60% - Accent4 2 18" xfId="649"/>
    <cellStyle name="60% - Accent4 2 19" xfId="650"/>
    <cellStyle name="60% - Accent4 2 2" xfId="651"/>
    <cellStyle name="60% - Accent4 2 20" xfId="652"/>
    <cellStyle name="60% - Accent4 2 21" xfId="653"/>
    <cellStyle name="60% - Accent4 2 22" xfId="654"/>
    <cellStyle name="60% - Accent4 2 23" xfId="655"/>
    <cellStyle name="60% - Accent4 2 24" xfId="656"/>
    <cellStyle name="60% - Accent4 2 25" xfId="657"/>
    <cellStyle name="60% - Accent4 2 26" xfId="658"/>
    <cellStyle name="60% - Accent4 2 27" xfId="659"/>
    <cellStyle name="60% - Accent4 2 28" xfId="660"/>
    <cellStyle name="60% - Accent4 2 29" xfId="661"/>
    <cellStyle name="60% - Accent4 2 3" xfId="662"/>
    <cellStyle name="60% - Accent4 2 30" xfId="663"/>
    <cellStyle name="60% - Accent4 2 31" xfId="664"/>
    <cellStyle name="60% - Accent4 2 32" xfId="665"/>
    <cellStyle name="60% - Accent4 2 33" xfId="666"/>
    <cellStyle name="60% - Accent4 2 34" xfId="667"/>
    <cellStyle name="60% - Accent4 2 35" xfId="668"/>
    <cellStyle name="60% - Accent4 2 36" xfId="669"/>
    <cellStyle name="60% - Accent4 2 37" xfId="670"/>
    <cellStyle name="60% - Accent4 2 38" xfId="671"/>
    <cellStyle name="60% - Accent4 2 39" xfId="672"/>
    <cellStyle name="60% - Accent4 2 4" xfId="673"/>
    <cellStyle name="60% - Accent4 2 40" xfId="674"/>
    <cellStyle name="60% - Accent4 2 41" xfId="675"/>
    <cellStyle name="60% - Accent4 2 42" xfId="676"/>
    <cellStyle name="60% - Accent4 2 43" xfId="677"/>
    <cellStyle name="60% - Accent4 2 44" xfId="678"/>
    <cellStyle name="60% - Accent4 2 45" xfId="679"/>
    <cellStyle name="60% - Accent4 2 46" xfId="680"/>
    <cellStyle name="60% - Accent4 2 47" xfId="681"/>
    <cellStyle name="60% - Accent4 2 48" xfId="682"/>
    <cellStyle name="60% - Accent4 2 49" xfId="683"/>
    <cellStyle name="60% - Accent4 2 5" xfId="684"/>
    <cellStyle name="60% - Accent4 2 6" xfId="685"/>
    <cellStyle name="60% - Accent4 2 7" xfId="686"/>
    <cellStyle name="60% - Accent4 2 8" xfId="687"/>
    <cellStyle name="60% - Accent4 2 9" xfId="688"/>
    <cellStyle name="60% - Accent5 2" xfId="689"/>
    <cellStyle name="60% - Accent5 2 10" xfId="690"/>
    <cellStyle name="60% - Accent5 2 11" xfId="691"/>
    <cellStyle name="60% - Accent5 2 12" xfId="692"/>
    <cellStyle name="60% - Accent5 2 13" xfId="693"/>
    <cellStyle name="60% - Accent5 2 14" xfId="694"/>
    <cellStyle name="60% - Accent5 2 15" xfId="695"/>
    <cellStyle name="60% - Accent5 2 16" xfId="696"/>
    <cellStyle name="60% - Accent5 2 17" xfId="697"/>
    <cellStyle name="60% - Accent5 2 18" xfId="698"/>
    <cellStyle name="60% - Accent5 2 19" xfId="699"/>
    <cellStyle name="60% - Accent5 2 2" xfId="700"/>
    <cellStyle name="60% - Accent5 2 20" xfId="701"/>
    <cellStyle name="60% - Accent5 2 21" xfId="702"/>
    <cellStyle name="60% - Accent5 2 22" xfId="703"/>
    <cellStyle name="60% - Accent5 2 23" xfId="704"/>
    <cellStyle name="60% - Accent5 2 24" xfId="705"/>
    <cellStyle name="60% - Accent5 2 25" xfId="706"/>
    <cellStyle name="60% - Accent5 2 26" xfId="707"/>
    <cellStyle name="60% - Accent5 2 27" xfId="708"/>
    <cellStyle name="60% - Accent5 2 28" xfId="709"/>
    <cellStyle name="60% - Accent5 2 29" xfId="710"/>
    <cellStyle name="60% - Accent5 2 3" xfId="711"/>
    <cellStyle name="60% - Accent5 2 30" xfId="712"/>
    <cellStyle name="60% - Accent5 2 31" xfId="713"/>
    <cellStyle name="60% - Accent5 2 32" xfId="714"/>
    <cellStyle name="60% - Accent5 2 33" xfId="715"/>
    <cellStyle name="60% - Accent5 2 34" xfId="716"/>
    <cellStyle name="60% - Accent5 2 35" xfId="717"/>
    <cellStyle name="60% - Accent5 2 36" xfId="718"/>
    <cellStyle name="60% - Accent5 2 37" xfId="719"/>
    <cellStyle name="60% - Accent5 2 38" xfId="720"/>
    <cellStyle name="60% - Accent5 2 39" xfId="721"/>
    <cellStyle name="60% - Accent5 2 4" xfId="722"/>
    <cellStyle name="60% - Accent5 2 40" xfId="723"/>
    <cellStyle name="60% - Accent5 2 41" xfId="724"/>
    <cellStyle name="60% - Accent5 2 42" xfId="725"/>
    <cellStyle name="60% - Accent5 2 43" xfId="726"/>
    <cellStyle name="60% - Accent5 2 44" xfId="727"/>
    <cellStyle name="60% - Accent5 2 45" xfId="728"/>
    <cellStyle name="60% - Accent5 2 46" xfId="729"/>
    <cellStyle name="60% - Accent5 2 47" xfId="730"/>
    <cellStyle name="60% - Accent5 2 48" xfId="731"/>
    <cellStyle name="60% - Accent5 2 49" xfId="732"/>
    <cellStyle name="60% - Accent5 2 5" xfId="733"/>
    <cellStyle name="60% - Accent5 2 6" xfId="734"/>
    <cellStyle name="60% - Accent5 2 7" xfId="735"/>
    <cellStyle name="60% - Accent5 2 8" xfId="736"/>
    <cellStyle name="60% - Accent5 2 9" xfId="737"/>
    <cellStyle name="60% - Accent6 2" xfId="738"/>
    <cellStyle name="60% - Accent6 2 10" xfId="739"/>
    <cellStyle name="60% - Accent6 2 11" xfId="740"/>
    <cellStyle name="60% - Accent6 2 12" xfId="741"/>
    <cellStyle name="60% - Accent6 2 13" xfId="742"/>
    <cellStyle name="60% - Accent6 2 14" xfId="743"/>
    <cellStyle name="60% - Accent6 2 15" xfId="744"/>
    <cellStyle name="60% - Accent6 2 16" xfId="745"/>
    <cellStyle name="60% - Accent6 2 17" xfId="746"/>
    <cellStyle name="60% - Accent6 2 18" xfId="747"/>
    <cellStyle name="60% - Accent6 2 19" xfId="748"/>
    <cellStyle name="60% - Accent6 2 2" xfId="749"/>
    <cellStyle name="60% - Accent6 2 20" xfId="750"/>
    <cellStyle name="60% - Accent6 2 21" xfId="751"/>
    <cellStyle name="60% - Accent6 2 22" xfId="752"/>
    <cellStyle name="60% - Accent6 2 23" xfId="753"/>
    <cellStyle name="60% - Accent6 2 24" xfId="754"/>
    <cellStyle name="60% - Accent6 2 25" xfId="755"/>
    <cellStyle name="60% - Accent6 2 26" xfId="756"/>
    <cellStyle name="60% - Accent6 2 27" xfId="757"/>
    <cellStyle name="60% - Accent6 2 28" xfId="758"/>
    <cellStyle name="60% - Accent6 2 29" xfId="759"/>
    <cellStyle name="60% - Accent6 2 3" xfId="760"/>
    <cellStyle name="60% - Accent6 2 30" xfId="761"/>
    <cellStyle name="60% - Accent6 2 31" xfId="762"/>
    <cellStyle name="60% - Accent6 2 32" xfId="763"/>
    <cellStyle name="60% - Accent6 2 33" xfId="764"/>
    <cellStyle name="60% - Accent6 2 34" xfId="765"/>
    <cellStyle name="60% - Accent6 2 35" xfId="766"/>
    <cellStyle name="60% - Accent6 2 36" xfId="767"/>
    <cellStyle name="60% - Accent6 2 37" xfId="768"/>
    <cellStyle name="60% - Accent6 2 38" xfId="769"/>
    <cellStyle name="60% - Accent6 2 39" xfId="770"/>
    <cellStyle name="60% - Accent6 2 4" xfId="771"/>
    <cellStyle name="60% - Accent6 2 40" xfId="772"/>
    <cellStyle name="60% - Accent6 2 41" xfId="773"/>
    <cellStyle name="60% - Accent6 2 42" xfId="774"/>
    <cellStyle name="60% - Accent6 2 43" xfId="775"/>
    <cellStyle name="60% - Accent6 2 44" xfId="776"/>
    <cellStyle name="60% - Accent6 2 45" xfId="777"/>
    <cellStyle name="60% - Accent6 2 46" xfId="778"/>
    <cellStyle name="60% - Accent6 2 47" xfId="779"/>
    <cellStyle name="60% - Accent6 2 48" xfId="780"/>
    <cellStyle name="60% - Accent6 2 49" xfId="781"/>
    <cellStyle name="60% - Accent6 2 5" xfId="782"/>
    <cellStyle name="60% - Accent6 2 6" xfId="783"/>
    <cellStyle name="60% - Accent6 2 7" xfId="784"/>
    <cellStyle name="60% - Accent6 2 8" xfId="785"/>
    <cellStyle name="60% - Accent6 2 9" xfId="786"/>
    <cellStyle name="Accent1 2" xfId="787"/>
    <cellStyle name="Accent1 2 10" xfId="788"/>
    <cellStyle name="Accent1 2 11" xfId="789"/>
    <cellStyle name="Accent1 2 12" xfId="790"/>
    <cellStyle name="Accent1 2 13" xfId="791"/>
    <cellStyle name="Accent1 2 14" xfId="792"/>
    <cellStyle name="Accent1 2 15" xfId="793"/>
    <cellStyle name="Accent1 2 16" xfId="794"/>
    <cellStyle name="Accent1 2 17" xfId="795"/>
    <cellStyle name="Accent1 2 18" xfId="796"/>
    <cellStyle name="Accent1 2 19" xfId="797"/>
    <cellStyle name="Accent1 2 2" xfId="798"/>
    <cellStyle name="Accent1 2 20" xfId="799"/>
    <cellStyle name="Accent1 2 21" xfId="800"/>
    <cellStyle name="Accent1 2 22" xfId="801"/>
    <cellStyle name="Accent1 2 23" xfId="802"/>
    <cellStyle name="Accent1 2 24" xfId="803"/>
    <cellStyle name="Accent1 2 25" xfId="804"/>
    <cellStyle name="Accent1 2 26" xfId="805"/>
    <cellStyle name="Accent1 2 27" xfId="806"/>
    <cellStyle name="Accent1 2 28" xfId="807"/>
    <cellStyle name="Accent1 2 29" xfId="808"/>
    <cellStyle name="Accent1 2 3" xfId="809"/>
    <cellStyle name="Accent1 2 30" xfId="810"/>
    <cellStyle name="Accent1 2 31" xfId="811"/>
    <cellStyle name="Accent1 2 32" xfId="812"/>
    <cellStyle name="Accent1 2 33" xfId="813"/>
    <cellStyle name="Accent1 2 34" xfId="814"/>
    <cellStyle name="Accent1 2 35" xfId="815"/>
    <cellStyle name="Accent1 2 36" xfId="816"/>
    <cellStyle name="Accent1 2 37" xfId="817"/>
    <cellStyle name="Accent1 2 38" xfId="818"/>
    <cellStyle name="Accent1 2 39" xfId="819"/>
    <cellStyle name="Accent1 2 4" xfId="820"/>
    <cellStyle name="Accent1 2 40" xfId="821"/>
    <cellStyle name="Accent1 2 41" xfId="822"/>
    <cellStyle name="Accent1 2 42" xfId="823"/>
    <cellStyle name="Accent1 2 43" xfId="824"/>
    <cellStyle name="Accent1 2 44" xfId="825"/>
    <cellStyle name="Accent1 2 45" xfId="826"/>
    <cellStyle name="Accent1 2 46" xfId="827"/>
    <cellStyle name="Accent1 2 47" xfId="828"/>
    <cellStyle name="Accent1 2 48" xfId="829"/>
    <cellStyle name="Accent1 2 49" xfId="830"/>
    <cellStyle name="Accent1 2 5" xfId="831"/>
    <cellStyle name="Accent1 2 6" xfId="832"/>
    <cellStyle name="Accent1 2 7" xfId="833"/>
    <cellStyle name="Accent1 2 8" xfId="834"/>
    <cellStyle name="Accent1 2 9" xfId="835"/>
    <cellStyle name="Accent2 2" xfId="836"/>
    <cellStyle name="Accent2 2 10" xfId="837"/>
    <cellStyle name="Accent2 2 11" xfId="838"/>
    <cellStyle name="Accent2 2 12" xfId="839"/>
    <cellStyle name="Accent2 2 13" xfId="840"/>
    <cellStyle name="Accent2 2 14" xfId="841"/>
    <cellStyle name="Accent2 2 15" xfId="842"/>
    <cellStyle name="Accent2 2 16" xfId="843"/>
    <cellStyle name="Accent2 2 17" xfId="844"/>
    <cellStyle name="Accent2 2 18" xfId="845"/>
    <cellStyle name="Accent2 2 19" xfId="846"/>
    <cellStyle name="Accent2 2 2" xfId="847"/>
    <cellStyle name="Accent2 2 20" xfId="848"/>
    <cellStyle name="Accent2 2 21" xfId="849"/>
    <cellStyle name="Accent2 2 22" xfId="850"/>
    <cellStyle name="Accent2 2 23" xfId="851"/>
    <cellStyle name="Accent2 2 24" xfId="852"/>
    <cellStyle name="Accent2 2 25" xfId="853"/>
    <cellStyle name="Accent2 2 26" xfId="854"/>
    <cellStyle name="Accent2 2 27" xfId="855"/>
    <cellStyle name="Accent2 2 28" xfId="856"/>
    <cellStyle name="Accent2 2 29" xfId="857"/>
    <cellStyle name="Accent2 2 3" xfId="858"/>
    <cellStyle name="Accent2 2 30" xfId="859"/>
    <cellStyle name="Accent2 2 31" xfId="860"/>
    <cellStyle name="Accent2 2 32" xfId="861"/>
    <cellStyle name="Accent2 2 33" xfId="862"/>
    <cellStyle name="Accent2 2 34" xfId="863"/>
    <cellStyle name="Accent2 2 35" xfId="864"/>
    <cellStyle name="Accent2 2 36" xfId="865"/>
    <cellStyle name="Accent2 2 37" xfId="866"/>
    <cellStyle name="Accent2 2 38" xfId="867"/>
    <cellStyle name="Accent2 2 39" xfId="868"/>
    <cellStyle name="Accent2 2 4" xfId="869"/>
    <cellStyle name="Accent2 2 40" xfId="870"/>
    <cellStyle name="Accent2 2 41" xfId="871"/>
    <cellStyle name="Accent2 2 42" xfId="872"/>
    <cellStyle name="Accent2 2 43" xfId="873"/>
    <cellStyle name="Accent2 2 44" xfId="874"/>
    <cellStyle name="Accent2 2 45" xfId="875"/>
    <cellStyle name="Accent2 2 46" xfId="876"/>
    <cellStyle name="Accent2 2 47" xfId="877"/>
    <cellStyle name="Accent2 2 48" xfId="878"/>
    <cellStyle name="Accent2 2 49" xfId="879"/>
    <cellStyle name="Accent2 2 5" xfId="880"/>
    <cellStyle name="Accent2 2 6" xfId="881"/>
    <cellStyle name="Accent2 2 7" xfId="882"/>
    <cellStyle name="Accent2 2 8" xfId="883"/>
    <cellStyle name="Accent2 2 9" xfId="884"/>
    <cellStyle name="Accent3 2" xfId="885"/>
    <cellStyle name="Accent3 2 10" xfId="886"/>
    <cellStyle name="Accent3 2 11" xfId="887"/>
    <cellStyle name="Accent3 2 12" xfId="888"/>
    <cellStyle name="Accent3 2 13" xfId="889"/>
    <cellStyle name="Accent3 2 14" xfId="890"/>
    <cellStyle name="Accent3 2 15" xfId="891"/>
    <cellStyle name="Accent3 2 16" xfId="892"/>
    <cellStyle name="Accent3 2 17" xfId="893"/>
    <cellStyle name="Accent3 2 18" xfId="894"/>
    <cellStyle name="Accent3 2 19" xfId="895"/>
    <cellStyle name="Accent3 2 2" xfId="896"/>
    <cellStyle name="Accent3 2 20" xfId="897"/>
    <cellStyle name="Accent3 2 21" xfId="898"/>
    <cellStyle name="Accent3 2 22" xfId="899"/>
    <cellStyle name="Accent3 2 23" xfId="900"/>
    <cellStyle name="Accent3 2 24" xfId="901"/>
    <cellStyle name="Accent3 2 25" xfId="902"/>
    <cellStyle name="Accent3 2 26" xfId="903"/>
    <cellStyle name="Accent3 2 27" xfId="904"/>
    <cellStyle name="Accent3 2 28" xfId="905"/>
    <cellStyle name="Accent3 2 29" xfId="906"/>
    <cellStyle name="Accent3 2 3" xfId="907"/>
    <cellStyle name="Accent3 2 30" xfId="908"/>
    <cellStyle name="Accent3 2 31" xfId="909"/>
    <cellStyle name="Accent3 2 32" xfId="910"/>
    <cellStyle name="Accent3 2 33" xfId="911"/>
    <cellStyle name="Accent3 2 34" xfId="912"/>
    <cellStyle name="Accent3 2 35" xfId="913"/>
    <cellStyle name="Accent3 2 36" xfId="914"/>
    <cellStyle name="Accent3 2 37" xfId="915"/>
    <cellStyle name="Accent3 2 38" xfId="916"/>
    <cellStyle name="Accent3 2 39" xfId="917"/>
    <cellStyle name="Accent3 2 4" xfId="918"/>
    <cellStyle name="Accent3 2 40" xfId="919"/>
    <cellStyle name="Accent3 2 41" xfId="920"/>
    <cellStyle name="Accent3 2 42" xfId="921"/>
    <cellStyle name="Accent3 2 43" xfId="922"/>
    <cellStyle name="Accent3 2 44" xfId="923"/>
    <cellStyle name="Accent3 2 45" xfId="924"/>
    <cellStyle name="Accent3 2 46" xfId="925"/>
    <cellStyle name="Accent3 2 47" xfId="926"/>
    <cellStyle name="Accent3 2 48" xfId="927"/>
    <cellStyle name="Accent3 2 49" xfId="928"/>
    <cellStyle name="Accent3 2 5" xfId="929"/>
    <cellStyle name="Accent3 2 6" xfId="930"/>
    <cellStyle name="Accent3 2 7" xfId="931"/>
    <cellStyle name="Accent3 2 8" xfId="932"/>
    <cellStyle name="Accent3 2 9" xfId="933"/>
    <cellStyle name="Accent4 2" xfId="934"/>
    <cellStyle name="Accent4 2 10" xfId="935"/>
    <cellStyle name="Accent4 2 11" xfId="936"/>
    <cellStyle name="Accent4 2 12" xfId="937"/>
    <cellStyle name="Accent4 2 13" xfId="938"/>
    <cellStyle name="Accent4 2 14" xfId="939"/>
    <cellStyle name="Accent4 2 15" xfId="940"/>
    <cellStyle name="Accent4 2 16" xfId="941"/>
    <cellStyle name="Accent4 2 17" xfId="942"/>
    <cellStyle name="Accent4 2 18" xfId="943"/>
    <cellStyle name="Accent4 2 19" xfId="944"/>
    <cellStyle name="Accent4 2 2" xfId="945"/>
    <cellStyle name="Accent4 2 20" xfId="946"/>
    <cellStyle name="Accent4 2 21" xfId="947"/>
    <cellStyle name="Accent4 2 22" xfId="948"/>
    <cellStyle name="Accent4 2 23" xfId="949"/>
    <cellStyle name="Accent4 2 24" xfId="950"/>
    <cellStyle name="Accent4 2 25" xfId="951"/>
    <cellStyle name="Accent4 2 26" xfId="952"/>
    <cellStyle name="Accent4 2 27" xfId="953"/>
    <cellStyle name="Accent4 2 28" xfId="954"/>
    <cellStyle name="Accent4 2 29" xfId="955"/>
    <cellStyle name="Accent4 2 3" xfId="956"/>
    <cellStyle name="Accent4 2 30" xfId="957"/>
    <cellStyle name="Accent4 2 31" xfId="958"/>
    <cellStyle name="Accent4 2 32" xfId="959"/>
    <cellStyle name="Accent4 2 33" xfId="960"/>
    <cellStyle name="Accent4 2 34" xfId="961"/>
    <cellStyle name="Accent4 2 35" xfId="962"/>
    <cellStyle name="Accent4 2 36" xfId="963"/>
    <cellStyle name="Accent4 2 37" xfId="964"/>
    <cellStyle name="Accent4 2 38" xfId="965"/>
    <cellStyle name="Accent4 2 39" xfId="966"/>
    <cellStyle name="Accent4 2 4" xfId="967"/>
    <cellStyle name="Accent4 2 40" xfId="968"/>
    <cellStyle name="Accent4 2 41" xfId="969"/>
    <cellStyle name="Accent4 2 42" xfId="970"/>
    <cellStyle name="Accent4 2 43" xfId="971"/>
    <cellStyle name="Accent4 2 44" xfId="972"/>
    <cellStyle name="Accent4 2 45" xfId="973"/>
    <cellStyle name="Accent4 2 46" xfId="974"/>
    <cellStyle name="Accent4 2 47" xfId="975"/>
    <cellStyle name="Accent4 2 48" xfId="976"/>
    <cellStyle name="Accent4 2 49" xfId="977"/>
    <cellStyle name="Accent4 2 5" xfId="978"/>
    <cellStyle name="Accent4 2 6" xfId="979"/>
    <cellStyle name="Accent4 2 7" xfId="980"/>
    <cellStyle name="Accent4 2 8" xfId="981"/>
    <cellStyle name="Accent4 2 9" xfId="982"/>
    <cellStyle name="Accent5" xfId="983" builtinId="45" customBuiltin="1"/>
    <cellStyle name="Accent6 2" xfId="984"/>
    <cellStyle name="Accent6 2 10" xfId="985"/>
    <cellStyle name="Accent6 2 11" xfId="986"/>
    <cellStyle name="Accent6 2 12" xfId="987"/>
    <cellStyle name="Accent6 2 13" xfId="988"/>
    <cellStyle name="Accent6 2 14" xfId="989"/>
    <cellStyle name="Accent6 2 15" xfId="990"/>
    <cellStyle name="Accent6 2 16" xfId="991"/>
    <cellStyle name="Accent6 2 17" xfId="992"/>
    <cellStyle name="Accent6 2 18" xfId="993"/>
    <cellStyle name="Accent6 2 19" xfId="994"/>
    <cellStyle name="Accent6 2 2" xfId="995"/>
    <cellStyle name="Accent6 2 20" xfId="996"/>
    <cellStyle name="Accent6 2 21" xfId="997"/>
    <cellStyle name="Accent6 2 22" xfId="998"/>
    <cellStyle name="Accent6 2 23" xfId="999"/>
    <cellStyle name="Accent6 2 24" xfId="1000"/>
    <cellStyle name="Accent6 2 25" xfId="1001"/>
    <cellStyle name="Accent6 2 26" xfId="1002"/>
    <cellStyle name="Accent6 2 27" xfId="1003"/>
    <cellStyle name="Accent6 2 28" xfId="1004"/>
    <cellStyle name="Accent6 2 29" xfId="1005"/>
    <cellStyle name="Accent6 2 3" xfId="1006"/>
    <cellStyle name="Accent6 2 30" xfId="1007"/>
    <cellStyle name="Accent6 2 31" xfId="1008"/>
    <cellStyle name="Accent6 2 32" xfId="1009"/>
    <cellStyle name="Accent6 2 33" xfId="1010"/>
    <cellStyle name="Accent6 2 34" xfId="1011"/>
    <cellStyle name="Accent6 2 35" xfId="1012"/>
    <cellStyle name="Accent6 2 36" xfId="1013"/>
    <cellStyle name="Accent6 2 37" xfId="1014"/>
    <cellStyle name="Accent6 2 38" xfId="1015"/>
    <cellStyle name="Accent6 2 39" xfId="1016"/>
    <cellStyle name="Accent6 2 4" xfId="1017"/>
    <cellStyle name="Accent6 2 40" xfId="1018"/>
    <cellStyle name="Accent6 2 41" xfId="1019"/>
    <cellStyle name="Accent6 2 42" xfId="1020"/>
    <cellStyle name="Accent6 2 43" xfId="1021"/>
    <cellStyle name="Accent6 2 44" xfId="1022"/>
    <cellStyle name="Accent6 2 45" xfId="1023"/>
    <cellStyle name="Accent6 2 46" xfId="1024"/>
    <cellStyle name="Accent6 2 47" xfId="1025"/>
    <cellStyle name="Accent6 2 48" xfId="1026"/>
    <cellStyle name="Accent6 2 49" xfId="1027"/>
    <cellStyle name="Accent6 2 5" xfId="1028"/>
    <cellStyle name="Accent6 2 6" xfId="1029"/>
    <cellStyle name="Accent6 2 7" xfId="1030"/>
    <cellStyle name="Accent6 2 8" xfId="1031"/>
    <cellStyle name="Accent6 2 9" xfId="1032"/>
    <cellStyle name="Bad 2" xfId="1033"/>
    <cellStyle name="Bad 2 10" xfId="1034"/>
    <cellStyle name="Bad 2 11" xfId="1035"/>
    <cellStyle name="Bad 2 12" xfId="1036"/>
    <cellStyle name="Bad 2 13" xfId="1037"/>
    <cellStyle name="Bad 2 14" xfId="1038"/>
    <cellStyle name="Bad 2 15" xfId="1039"/>
    <cellStyle name="Bad 2 16" xfId="1040"/>
    <cellStyle name="Bad 2 17" xfId="1041"/>
    <cellStyle name="Bad 2 18" xfId="1042"/>
    <cellStyle name="Bad 2 19" xfId="1043"/>
    <cellStyle name="Bad 2 2" xfId="1044"/>
    <cellStyle name="Bad 2 20" xfId="1045"/>
    <cellStyle name="Bad 2 21" xfId="1046"/>
    <cellStyle name="Bad 2 22" xfId="1047"/>
    <cellStyle name="Bad 2 23" xfId="1048"/>
    <cellStyle name="Bad 2 24" xfId="1049"/>
    <cellStyle name="Bad 2 25" xfId="1050"/>
    <cellStyle name="Bad 2 26" xfId="1051"/>
    <cellStyle name="Bad 2 27" xfId="1052"/>
    <cellStyle name="Bad 2 28" xfId="1053"/>
    <cellStyle name="Bad 2 29" xfId="1054"/>
    <cellStyle name="Bad 2 3" xfId="1055"/>
    <cellStyle name="Bad 2 30" xfId="1056"/>
    <cellStyle name="Bad 2 31" xfId="1057"/>
    <cellStyle name="Bad 2 32" xfId="1058"/>
    <cellStyle name="Bad 2 33" xfId="1059"/>
    <cellStyle name="Bad 2 34" xfId="1060"/>
    <cellStyle name="Bad 2 35" xfId="1061"/>
    <cellStyle name="Bad 2 36" xfId="1062"/>
    <cellStyle name="Bad 2 37" xfId="1063"/>
    <cellStyle name="Bad 2 38" xfId="1064"/>
    <cellStyle name="Bad 2 39" xfId="1065"/>
    <cellStyle name="Bad 2 4" xfId="1066"/>
    <cellStyle name="Bad 2 40" xfId="1067"/>
    <cellStyle name="Bad 2 41" xfId="1068"/>
    <cellStyle name="Bad 2 42" xfId="1069"/>
    <cellStyle name="Bad 2 43" xfId="1070"/>
    <cellStyle name="Bad 2 44" xfId="1071"/>
    <cellStyle name="Bad 2 45" xfId="1072"/>
    <cellStyle name="Bad 2 46" xfId="1073"/>
    <cellStyle name="Bad 2 47" xfId="1074"/>
    <cellStyle name="Bad 2 48" xfId="1075"/>
    <cellStyle name="Bad 2 49" xfId="1076"/>
    <cellStyle name="Bad 2 5" xfId="1077"/>
    <cellStyle name="Bad 2 6" xfId="1078"/>
    <cellStyle name="Bad 2 7" xfId="1079"/>
    <cellStyle name="Bad 2 8" xfId="1080"/>
    <cellStyle name="Bad 2 9" xfId="1081"/>
    <cellStyle name="Calculation 2" xfId="1082"/>
    <cellStyle name="Calculation 2 10" xfId="1083"/>
    <cellStyle name="Calculation 2 11" xfId="1084"/>
    <cellStyle name="Calculation 2 12" xfId="1085"/>
    <cellStyle name="Calculation 2 13" xfId="1086"/>
    <cellStyle name="Calculation 2 14" xfId="1087"/>
    <cellStyle name="Calculation 2 15" xfId="1088"/>
    <cellStyle name="Calculation 2 16" xfId="1089"/>
    <cellStyle name="Calculation 2 17" xfId="1090"/>
    <cellStyle name="Calculation 2 18" xfId="1091"/>
    <cellStyle name="Calculation 2 19" xfId="1092"/>
    <cellStyle name="Calculation 2 2" xfId="1093"/>
    <cellStyle name="Calculation 2 20" xfId="1094"/>
    <cellStyle name="Calculation 2 21" xfId="1095"/>
    <cellStyle name="Calculation 2 22" xfId="1096"/>
    <cellStyle name="Calculation 2 23" xfId="1097"/>
    <cellStyle name="Calculation 2 24" xfId="1098"/>
    <cellStyle name="Calculation 2 25" xfId="1099"/>
    <cellStyle name="Calculation 2 26" xfId="1100"/>
    <cellStyle name="Calculation 2 27" xfId="1101"/>
    <cellStyle name="Calculation 2 28" xfId="1102"/>
    <cellStyle name="Calculation 2 29" xfId="1103"/>
    <cellStyle name="Calculation 2 3" xfId="1104"/>
    <cellStyle name="Calculation 2 30" xfId="1105"/>
    <cellStyle name="Calculation 2 31" xfId="1106"/>
    <cellStyle name="Calculation 2 32" xfId="1107"/>
    <cellStyle name="Calculation 2 33" xfId="1108"/>
    <cellStyle name="Calculation 2 34" xfId="1109"/>
    <cellStyle name="Calculation 2 35" xfId="1110"/>
    <cellStyle name="Calculation 2 36" xfId="1111"/>
    <cellStyle name="Calculation 2 37" xfId="1112"/>
    <cellStyle name="Calculation 2 38" xfId="1113"/>
    <cellStyle name="Calculation 2 39" xfId="1114"/>
    <cellStyle name="Calculation 2 4" xfId="1115"/>
    <cellStyle name="Calculation 2 40" xfId="1116"/>
    <cellStyle name="Calculation 2 41" xfId="1117"/>
    <cellStyle name="Calculation 2 42" xfId="1118"/>
    <cellStyle name="Calculation 2 43" xfId="1119"/>
    <cellStyle name="Calculation 2 44" xfId="1120"/>
    <cellStyle name="Calculation 2 45" xfId="1121"/>
    <cellStyle name="Calculation 2 46" xfId="1122"/>
    <cellStyle name="Calculation 2 47" xfId="1123"/>
    <cellStyle name="Calculation 2 48" xfId="1124"/>
    <cellStyle name="Calculation 2 49" xfId="1125"/>
    <cellStyle name="Calculation 2 5" xfId="1126"/>
    <cellStyle name="Calculation 2 6" xfId="1127"/>
    <cellStyle name="Calculation 2 7" xfId="1128"/>
    <cellStyle name="Calculation 2 8" xfId="1129"/>
    <cellStyle name="Calculation 2 9" xfId="1130"/>
    <cellStyle name="Check Cell" xfId="1131" builtinId="23" customBuiltin="1"/>
    <cellStyle name="Explanatory Text" xfId="1132" builtinId="53" customBuiltin="1"/>
    <cellStyle name="Good 2" xfId="1133"/>
    <cellStyle name="Good 2 10" xfId="1134"/>
    <cellStyle name="Good 2 11" xfId="1135"/>
    <cellStyle name="Good 2 12" xfId="1136"/>
    <cellStyle name="Good 2 13" xfId="1137"/>
    <cellStyle name="Good 2 14" xfId="1138"/>
    <cellStyle name="Good 2 15" xfId="1139"/>
    <cellStyle name="Good 2 16" xfId="1140"/>
    <cellStyle name="Good 2 17" xfId="1141"/>
    <cellStyle name="Good 2 18" xfId="1142"/>
    <cellStyle name="Good 2 19" xfId="1143"/>
    <cellStyle name="Good 2 2" xfId="1144"/>
    <cellStyle name="Good 2 20" xfId="1145"/>
    <cellStyle name="Good 2 21" xfId="1146"/>
    <cellStyle name="Good 2 22" xfId="1147"/>
    <cellStyle name="Good 2 23" xfId="1148"/>
    <cellStyle name="Good 2 24" xfId="1149"/>
    <cellStyle name="Good 2 25" xfId="1150"/>
    <cellStyle name="Good 2 26" xfId="1151"/>
    <cellStyle name="Good 2 27" xfId="1152"/>
    <cellStyle name="Good 2 28" xfId="1153"/>
    <cellStyle name="Good 2 29" xfId="1154"/>
    <cellStyle name="Good 2 3" xfId="1155"/>
    <cellStyle name="Good 2 30" xfId="1156"/>
    <cellStyle name="Good 2 31" xfId="1157"/>
    <cellStyle name="Good 2 32" xfId="1158"/>
    <cellStyle name="Good 2 33" xfId="1159"/>
    <cellStyle name="Good 2 34" xfId="1160"/>
    <cellStyle name="Good 2 35" xfId="1161"/>
    <cellStyle name="Good 2 36" xfId="1162"/>
    <cellStyle name="Good 2 37" xfId="1163"/>
    <cellStyle name="Good 2 38" xfId="1164"/>
    <cellStyle name="Good 2 39" xfId="1165"/>
    <cellStyle name="Good 2 4" xfId="1166"/>
    <cellStyle name="Good 2 40" xfId="1167"/>
    <cellStyle name="Good 2 41" xfId="1168"/>
    <cellStyle name="Good 2 42" xfId="1169"/>
    <cellStyle name="Good 2 43" xfId="1170"/>
    <cellStyle name="Good 2 44" xfId="1171"/>
    <cellStyle name="Good 2 45" xfId="1172"/>
    <cellStyle name="Good 2 46" xfId="1173"/>
    <cellStyle name="Good 2 47" xfId="1174"/>
    <cellStyle name="Good 2 48" xfId="1175"/>
    <cellStyle name="Good 2 49" xfId="1176"/>
    <cellStyle name="Good 2 5" xfId="1177"/>
    <cellStyle name="Good 2 6" xfId="1178"/>
    <cellStyle name="Good 2 7" xfId="1179"/>
    <cellStyle name="Good 2 8" xfId="1180"/>
    <cellStyle name="Good 2 9" xfId="1181"/>
    <cellStyle name="Heading 1 2" xfId="1182"/>
    <cellStyle name="Heading 1 2 10" xfId="1183"/>
    <cellStyle name="Heading 1 2 11" xfId="1184"/>
    <cellStyle name="Heading 1 2 12" xfId="1185"/>
    <cellStyle name="Heading 1 2 13" xfId="1186"/>
    <cellStyle name="Heading 1 2 14" xfId="1187"/>
    <cellStyle name="Heading 1 2 15" xfId="1188"/>
    <cellStyle name="Heading 1 2 16" xfId="1189"/>
    <cellStyle name="Heading 1 2 17" xfId="1190"/>
    <cellStyle name="Heading 1 2 18" xfId="1191"/>
    <cellStyle name="Heading 1 2 19" xfId="1192"/>
    <cellStyle name="Heading 1 2 2" xfId="1193"/>
    <cellStyle name="Heading 1 2 20" xfId="1194"/>
    <cellStyle name="Heading 1 2 21" xfId="1195"/>
    <cellStyle name="Heading 1 2 22" xfId="1196"/>
    <cellStyle name="Heading 1 2 23" xfId="1197"/>
    <cellStyle name="Heading 1 2 24" xfId="1198"/>
    <cellStyle name="Heading 1 2 25" xfId="1199"/>
    <cellStyle name="Heading 1 2 26" xfId="1200"/>
    <cellStyle name="Heading 1 2 27" xfId="1201"/>
    <cellStyle name="Heading 1 2 28" xfId="1202"/>
    <cellStyle name="Heading 1 2 29" xfId="1203"/>
    <cellStyle name="Heading 1 2 3" xfId="1204"/>
    <cellStyle name="Heading 1 2 30" xfId="1205"/>
    <cellStyle name="Heading 1 2 31" xfId="1206"/>
    <cellStyle name="Heading 1 2 32" xfId="1207"/>
    <cellStyle name="Heading 1 2 33" xfId="1208"/>
    <cellStyle name="Heading 1 2 34" xfId="1209"/>
    <cellStyle name="Heading 1 2 35" xfId="1210"/>
    <cellStyle name="Heading 1 2 36" xfId="1211"/>
    <cellStyle name="Heading 1 2 37" xfId="1212"/>
    <cellStyle name="Heading 1 2 38" xfId="1213"/>
    <cellStyle name="Heading 1 2 39" xfId="1214"/>
    <cellStyle name="Heading 1 2 4" xfId="1215"/>
    <cellStyle name="Heading 1 2 40" xfId="1216"/>
    <cellStyle name="Heading 1 2 41" xfId="1217"/>
    <cellStyle name="Heading 1 2 42" xfId="1218"/>
    <cellStyle name="Heading 1 2 43" xfId="1219"/>
    <cellStyle name="Heading 1 2 44" xfId="1220"/>
    <cellStyle name="Heading 1 2 45" xfId="1221"/>
    <cellStyle name="Heading 1 2 46" xfId="1222"/>
    <cellStyle name="Heading 1 2 47" xfId="1223"/>
    <cellStyle name="Heading 1 2 48" xfId="1224"/>
    <cellStyle name="Heading 1 2 49" xfId="1225"/>
    <cellStyle name="Heading 1 2 49 2" xfId="1226"/>
    <cellStyle name="Heading 1 2 5" xfId="1227"/>
    <cellStyle name="Heading 1 2 50" xfId="1228"/>
    <cellStyle name="Heading 1 2 50 2" xfId="1229"/>
    <cellStyle name="Heading 1 2 6" xfId="1230"/>
    <cellStyle name="Heading 1 2 7" xfId="1231"/>
    <cellStyle name="Heading 1 2 8" xfId="1232"/>
    <cellStyle name="Heading 1 2 9" xfId="1233"/>
    <cellStyle name="Heading 2 2" xfId="1234"/>
    <cellStyle name="Heading 2 2 10" xfId="1235"/>
    <cellStyle name="Heading 2 2 11" xfId="1236"/>
    <cellStyle name="Heading 2 2 12" xfId="1237"/>
    <cellStyle name="Heading 2 2 13" xfId="1238"/>
    <cellStyle name="Heading 2 2 14" xfId="1239"/>
    <cellStyle name="Heading 2 2 15" xfId="1240"/>
    <cellStyle name="Heading 2 2 16" xfId="1241"/>
    <cellStyle name="Heading 2 2 17" xfId="1242"/>
    <cellStyle name="Heading 2 2 18" xfId="1243"/>
    <cellStyle name="Heading 2 2 19" xfId="1244"/>
    <cellStyle name="Heading 2 2 2" xfId="1245"/>
    <cellStyle name="Heading 2 2 20" xfId="1246"/>
    <cellStyle name="Heading 2 2 21" xfId="1247"/>
    <cellStyle name="Heading 2 2 22" xfId="1248"/>
    <cellStyle name="Heading 2 2 23" xfId="1249"/>
    <cellStyle name="Heading 2 2 24" xfId="1250"/>
    <cellStyle name="Heading 2 2 25" xfId="1251"/>
    <cellStyle name="Heading 2 2 26" xfId="1252"/>
    <cellStyle name="Heading 2 2 27" xfId="1253"/>
    <cellStyle name="Heading 2 2 28" xfId="1254"/>
    <cellStyle name="Heading 2 2 29" xfId="1255"/>
    <cellStyle name="Heading 2 2 3" xfId="1256"/>
    <cellStyle name="Heading 2 2 30" xfId="1257"/>
    <cellStyle name="Heading 2 2 31" xfId="1258"/>
    <cellStyle name="Heading 2 2 32" xfId="1259"/>
    <cellStyle name="Heading 2 2 33" xfId="1260"/>
    <cellStyle name="Heading 2 2 34" xfId="1261"/>
    <cellStyle name="Heading 2 2 35" xfId="1262"/>
    <cellStyle name="Heading 2 2 36" xfId="1263"/>
    <cellStyle name="Heading 2 2 37" xfId="1264"/>
    <cellStyle name="Heading 2 2 38" xfId="1265"/>
    <cellStyle name="Heading 2 2 39" xfId="1266"/>
    <cellStyle name="Heading 2 2 4" xfId="1267"/>
    <cellStyle name="Heading 2 2 40" xfId="1268"/>
    <cellStyle name="Heading 2 2 41" xfId="1269"/>
    <cellStyle name="Heading 2 2 42" xfId="1270"/>
    <cellStyle name="Heading 2 2 43" xfId="1271"/>
    <cellStyle name="Heading 2 2 44" xfId="1272"/>
    <cellStyle name="Heading 2 2 45" xfId="1273"/>
    <cellStyle name="Heading 2 2 46" xfId="1274"/>
    <cellStyle name="Heading 2 2 47" xfId="1275"/>
    <cellStyle name="Heading 2 2 48" xfId="1276"/>
    <cellStyle name="Heading 2 2 49" xfId="1277"/>
    <cellStyle name="Heading 2 2 49 2" xfId="1278"/>
    <cellStyle name="Heading 2 2 5" xfId="1279"/>
    <cellStyle name="Heading 2 2 50" xfId="1280"/>
    <cellStyle name="Heading 2 2 50 2" xfId="1281"/>
    <cellStyle name="Heading 2 2 6" xfId="1282"/>
    <cellStyle name="Heading 2 2 7" xfId="1283"/>
    <cellStyle name="Heading 2 2 8" xfId="1284"/>
    <cellStyle name="Heading 2 2 9" xfId="1285"/>
    <cellStyle name="Heading 3 2" xfId="1286"/>
    <cellStyle name="Heading 3 2 10" xfId="1287"/>
    <cellStyle name="Heading 3 2 11" xfId="1288"/>
    <cellStyle name="Heading 3 2 12" xfId="1289"/>
    <cellStyle name="Heading 3 2 13" xfId="1290"/>
    <cellStyle name="Heading 3 2 14" xfId="1291"/>
    <cellStyle name="Heading 3 2 15" xfId="1292"/>
    <cellStyle name="Heading 3 2 16" xfId="1293"/>
    <cellStyle name="Heading 3 2 17" xfId="1294"/>
    <cellStyle name="Heading 3 2 18" xfId="1295"/>
    <cellStyle name="Heading 3 2 19" xfId="1296"/>
    <cellStyle name="Heading 3 2 2" xfId="1297"/>
    <cellStyle name="Heading 3 2 20" xfId="1298"/>
    <cellStyle name="Heading 3 2 21" xfId="1299"/>
    <cellStyle name="Heading 3 2 22" xfId="1300"/>
    <cellStyle name="Heading 3 2 23" xfId="1301"/>
    <cellStyle name="Heading 3 2 24" xfId="1302"/>
    <cellStyle name="Heading 3 2 25" xfId="1303"/>
    <cellStyle name="Heading 3 2 26" xfId="1304"/>
    <cellStyle name="Heading 3 2 27" xfId="1305"/>
    <cellStyle name="Heading 3 2 28" xfId="1306"/>
    <cellStyle name="Heading 3 2 29" xfId="1307"/>
    <cellStyle name="Heading 3 2 3" xfId="1308"/>
    <cellStyle name="Heading 3 2 30" xfId="1309"/>
    <cellStyle name="Heading 3 2 31" xfId="1310"/>
    <cellStyle name="Heading 3 2 32" xfId="1311"/>
    <cellStyle name="Heading 3 2 33" xfId="1312"/>
    <cellStyle name="Heading 3 2 34" xfId="1313"/>
    <cellStyle name="Heading 3 2 35" xfId="1314"/>
    <cellStyle name="Heading 3 2 36" xfId="1315"/>
    <cellStyle name="Heading 3 2 37" xfId="1316"/>
    <cellStyle name="Heading 3 2 38" xfId="1317"/>
    <cellStyle name="Heading 3 2 39" xfId="1318"/>
    <cellStyle name="Heading 3 2 4" xfId="1319"/>
    <cellStyle name="Heading 3 2 40" xfId="1320"/>
    <cellStyle name="Heading 3 2 41" xfId="1321"/>
    <cellStyle name="Heading 3 2 42" xfId="1322"/>
    <cellStyle name="Heading 3 2 43" xfId="1323"/>
    <cellStyle name="Heading 3 2 44" xfId="1324"/>
    <cellStyle name="Heading 3 2 45" xfId="1325"/>
    <cellStyle name="Heading 3 2 46" xfId="1326"/>
    <cellStyle name="Heading 3 2 47" xfId="1327"/>
    <cellStyle name="Heading 3 2 48" xfId="1328"/>
    <cellStyle name="Heading 3 2 49" xfId="1329"/>
    <cellStyle name="Heading 3 2 49 2" xfId="1330"/>
    <cellStyle name="Heading 3 2 5" xfId="1331"/>
    <cellStyle name="Heading 3 2 50" xfId="1332"/>
    <cellStyle name="Heading 3 2 50 2" xfId="1333"/>
    <cellStyle name="Heading 3 2 6" xfId="1334"/>
    <cellStyle name="Heading 3 2 7" xfId="1335"/>
    <cellStyle name="Heading 3 2 8" xfId="1336"/>
    <cellStyle name="Heading 3 2 9" xfId="1337"/>
    <cellStyle name="Heading 4 2" xfId="1338"/>
    <cellStyle name="Heading 4 2 10" xfId="1339"/>
    <cellStyle name="Heading 4 2 11" xfId="1340"/>
    <cellStyle name="Heading 4 2 12" xfId="1341"/>
    <cellStyle name="Heading 4 2 13" xfId="1342"/>
    <cellStyle name="Heading 4 2 14" xfId="1343"/>
    <cellStyle name="Heading 4 2 15" xfId="1344"/>
    <cellStyle name="Heading 4 2 16" xfId="1345"/>
    <cellStyle name="Heading 4 2 17" xfId="1346"/>
    <cellStyle name="Heading 4 2 18" xfId="1347"/>
    <cellStyle name="Heading 4 2 19" xfId="1348"/>
    <cellStyle name="Heading 4 2 2" xfId="1349"/>
    <cellStyle name="Heading 4 2 20" xfId="1350"/>
    <cellStyle name="Heading 4 2 21" xfId="1351"/>
    <cellStyle name="Heading 4 2 22" xfId="1352"/>
    <cellStyle name="Heading 4 2 23" xfId="1353"/>
    <cellStyle name="Heading 4 2 24" xfId="1354"/>
    <cellStyle name="Heading 4 2 25" xfId="1355"/>
    <cellStyle name="Heading 4 2 26" xfId="1356"/>
    <cellStyle name="Heading 4 2 27" xfId="1357"/>
    <cellStyle name="Heading 4 2 28" xfId="1358"/>
    <cellStyle name="Heading 4 2 29" xfId="1359"/>
    <cellStyle name="Heading 4 2 3" xfId="1360"/>
    <cellStyle name="Heading 4 2 30" xfId="1361"/>
    <cellStyle name="Heading 4 2 31" xfId="1362"/>
    <cellStyle name="Heading 4 2 32" xfId="1363"/>
    <cellStyle name="Heading 4 2 33" xfId="1364"/>
    <cellStyle name="Heading 4 2 34" xfId="1365"/>
    <cellStyle name="Heading 4 2 35" xfId="1366"/>
    <cellStyle name="Heading 4 2 36" xfId="1367"/>
    <cellStyle name="Heading 4 2 37" xfId="1368"/>
    <cellStyle name="Heading 4 2 38" xfId="1369"/>
    <cellStyle name="Heading 4 2 39" xfId="1370"/>
    <cellStyle name="Heading 4 2 4" xfId="1371"/>
    <cellStyle name="Heading 4 2 40" xfId="1372"/>
    <cellStyle name="Heading 4 2 41" xfId="1373"/>
    <cellStyle name="Heading 4 2 42" xfId="1374"/>
    <cellStyle name="Heading 4 2 43" xfId="1375"/>
    <cellStyle name="Heading 4 2 44" xfId="1376"/>
    <cellStyle name="Heading 4 2 45" xfId="1377"/>
    <cellStyle name="Heading 4 2 46" xfId="1378"/>
    <cellStyle name="Heading 4 2 47" xfId="1379"/>
    <cellStyle name="Heading 4 2 48" xfId="1380"/>
    <cellStyle name="Heading 4 2 49" xfId="1381"/>
    <cellStyle name="Heading 4 2 49 2" xfId="1382"/>
    <cellStyle name="Heading 4 2 5" xfId="1383"/>
    <cellStyle name="Heading 4 2 50" xfId="1384"/>
    <cellStyle name="Heading 4 2 50 2" xfId="1385"/>
    <cellStyle name="Heading 4 2 6" xfId="1386"/>
    <cellStyle name="Heading 4 2 7" xfId="1387"/>
    <cellStyle name="Heading 4 2 8" xfId="1388"/>
    <cellStyle name="Heading 4 2 9" xfId="1389"/>
    <cellStyle name="Input 2" xfId="1390"/>
    <cellStyle name="Input 2 10" xfId="1391"/>
    <cellStyle name="Input 2 11" xfId="1392"/>
    <cellStyle name="Input 2 12" xfId="1393"/>
    <cellStyle name="Input 2 13" xfId="1394"/>
    <cellStyle name="Input 2 14" xfId="1395"/>
    <cellStyle name="Input 2 15" xfId="1396"/>
    <cellStyle name="Input 2 16" xfId="1397"/>
    <cellStyle name="Input 2 17" xfId="1398"/>
    <cellStyle name="Input 2 18" xfId="1399"/>
    <cellStyle name="Input 2 19" xfId="1400"/>
    <cellStyle name="Input 2 2" xfId="1401"/>
    <cellStyle name="Input 2 20" xfId="1402"/>
    <cellStyle name="Input 2 21" xfId="1403"/>
    <cellStyle name="Input 2 22" xfId="1404"/>
    <cellStyle name="Input 2 23" xfId="1405"/>
    <cellStyle name="Input 2 24" xfId="1406"/>
    <cellStyle name="Input 2 25" xfId="1407"/>
    <cellStyle name="Input 2 26" xfId="1408"/>
    <cellStyle name="Input 2 27" xfId="1409"/>
    <cellStyle name="Input 2 28" xfId="1410"/>
    <cellStyle name="Input 2 29" xfId="1411"/>
    <cellStyle name="Input 2 3" xfId="1412"/>
    <cellStyle name="Input 2 30" xfId="1413"/>
    <cellStyle name="Input 2 31" xfId="1414"/>
    <cellStyle name="Input 2 32" xfId="1415"/>
    <cellStyle name="Input 2 33" xfId="1416"/>
    <cellStyle name="Input 2 34" xfId="1417"/>
    <cellStyle name="Input 2 35" xfId="1418"/>
    <cellStyle name="Input 2 36" xfId="1419"/>
    <cellStyle name="Input 2 37" xfId="1420"/>
    <cellStyle name="Input 2 38" xfId="1421"/>
    <cellStyle name="Input 2 39" xfId="1422"/>
    <cellStyle name="Input 2 4" xfId="1423"/>
    <cellStyle name="Input 2 40" xfId="1424"/>
    <cellStyle name="Input 2 41" xfId="1425"/>
    <cellStyle name="Input 2 42" xfId="1426"/>
    <cellStyle name="Input 2 43" xfId="1427"/>
    <cellStyle name="Input 2 44" xfId="1428"/>
    <cellStyle name="Input 2 45" xfId="1429"/>
    <cellStyle name="Input 2 46" xfId="1430"/>
    <cellStyle name="Input 2 47" xfId="1431"/>
    <cellStyle name="Input 2 48" xfId="1432"/>
    <cellStyle name="Input 2 49" xfId="1433"/>
    <cellStyle name="Input 2 5" xfId="1434"/>
    <cellStyle name="Input 2 6" xfId="1435"/>
    <cellStyle name="Input 2 7" xfId="1436"/>
    <cellStyle name="Input 2 8" xfId="1437"/>
    <cellStyle name="Input 2 9" xfId="1438"/>
    <cellStyle name="Linked Cell 2" xfId="1439"/>
    <cellStyle name="Linked Cell 2 10" xfId="1440"/>
    <cellStyle name="Linked Cell 2 11" xfId="1441"/>
    <cellStyle name="Linked Cell 2 12" xfId="1442"/>
    <cellStyle name="Linked Cell 2 13" xfId="1443"/>
    <cellStyle name="Linked Cell 2 14" xfId="1444"/>
    <cellStyle name="Linked Cell 2 15" xfId="1445"/>
    <cellStyle name="Linked Cell 2 16" xfId="1446"/>
    <cellStyle name="Linked Cell 2 17" xfId="1447"/>
    <cellStyle name="Linked Cell 2 18" xfId="1448"/>
    <cellStyle name="Linked Cell 2 19" xfId="1449"/>
    <cellStyle name="Linked Cell 2 2" xfId="1450"/>
    <cellStyle name="Linked Cell 2 20" xfId="1451"/>
    <cellStyle name="Linked Cell 2 21" xfId="1452"/>
    <cellStyle name="Linked Cell 2 22" xfId="1453"/>
    <cellStyle name="Linked Cell 2 23" xfId="1454"/>
    <cellStyle name="Linked Cell 2 24" xfId="1455"/>
    <cellStyle name="Linked Cell 2 25" xfId="1456"/>
    <cellStyle name="Linked Cell 2 26" xfId="1457"/>
    <cellStyle name="Linked Cell 2 27" xfId="1458"/>
    <cellStyle name="Linked Cell 2 28" xfId="1459"/>
    <cellStyle name="Linked Cell 2 29" xfId="1460"/>
    <cellStyle name="Linked Cell 2 3" xfId="1461"/>
    <cellStyle name="Linked Cell 2 30" xfId="1462"/>
    <cellStyle name="Linked Cell 2 31" xfId="1463"/>
    <cellStyle name="Linked Cell 2 32" xfId="1464"/>
    <cellStyle name="Linked Cell 2 33" xfId="1465"/>
    <cellStyle name="Linked Cell 2 34" xfId="1466"/>
    <cellStyle name="Linked Cell 2 35" xfId="1467"/>
    <cellStyle name="Linked Cell 2 36" xfId="1468"/>
    <cellStyle name="Linked Cell 2 37" xfId="1469"/>
    <cellStyle name="Linked Cell 2 38" xfId="1470"/>
    <cellStyle name="Linked Cell 2 39" xfId="1471"/>
    <cellStyle name="Linked Cell 2 4" xfId="1472"/>
    <cellStyle name="Linked Cell 2 40" xfId="1473"/>
    <cellStyle name="Linked Cell 2 41" xfId="1474"/>
    <cellStyle name="Linked Cell 2 42" xfId="1475"/>
    <cellStyle name="Linked Cell 2 43" xfId="1476"/>
    <cellStyle name="Linked Cell 2 44" xfId="1477"/>
    <cellStyle name="Linked Cell 2 45" xfId="1478"/>
    <cellStyle name="Linked Cell 2 46" xfId="1479"/>
    <cellStyle name="Linked Cell 2 47" xfId="1480"/>
    <cellStyle name="Linked Cell 2 48" xfId="1481"/>
    <cellStyle name="Linked Cell 2 49" xfId="1482"/>
    <cellStyle name="Linked Cell 2 49 2" xfId="1483"/>
    <cellStyle name="Linked Cell 2 5" xfId="1484"/>
    <cellStyle name="Linked Cell 2 50" xfId="1485"/>
    <cellStyle name="Linked Cell 2 50 2" xfId="1486"/>
    <cellStyle name="Linked Cell 2 6" xfId="1487"/>
    <cellStyle name="Linked Cell 2 7" xfId="1488"/>
    <cellStyle name="Linked Cell 2 8" xfId="1489"/>
    <cellStyle name="Linked Cell 2 9" xfId="1490"/>
    <cellStyle name="Neutral 2" xfId="1491"/>
    <cellStyle name="Neutral 2 10" xfId="1492"/>
    <cellStyle name="Neutral 2 11" xfId="1493"/>
    <cellStyle name="Neutral 2 12" xfId="1494"/>
    <cellStyle name="Neutral 2 13" xfId="1495"/>
    <cellStyle name="Neutral 2 14" xfId="1496"/>
    <cellStyle name="Neutral 2 15" xfId="1497"/>
    <cellStyle name="Neutral 2 16" xfId="1498"/>
    <cellStyle name="Neutral 2 17" xfId="1499"/>
    <cellStyle name="Neutral 2 18" xfId="1500"/>
    <cellStyle name="Neutral 2 19" xfId="1501"/>
    <cellStyle name="Neutral 2 2" xfId="1502"/>
    <cellStyle name="Neutral 2 20" xfId="1503"/>
    <cellStyle name="Neutral 2 21" xfId="1504"/>
    <cellStyle name="Neutral 2 22" xfId="1505"/>
    <cellStyle name="Neutral 2 23" xfId="1506"/>
    <cellStyle name="Neutral 2 24" xfId="1507"/>
    <cellStyle name="Neutral 2 25" xfId="1508"/>
    <cellStyle name="Neutral 2 26" xfId="1509"/>
    <cellStyle name="Neutral 2 27" xfId="1510"/>
    <cellStyle name="Neutral 2 28" xfId="1511"/>
    <cellStyle name="Neutral 2 29" xfId="1512"/>
    <cellStyle name="Neutral 2 3" xfId="1513"/>
    <cellStyle name="Neutral 2 30" xfId="1514"/>
    <cellStyle name="Neutral 2 31" xfId="1515"/>
    <cellStyle name="Neutral 2 32" xfId="1516"/>
    <cellStyle name="Neutral 2 33" xfId="1517"/>
    <cellStyle name="Neutral 2 34" xfId="1518"/>
    <cellStyle name="Neutral 2 35" xfId="1519"/>
    <cellStyle name="Neutral 2 36" xfId="1520"/>
    <cellStyle name="Neutral 2 37" xfId="1521"/>
    <cellStyle name="Neutral 2 38" xfId="1522"/>
    <cellStyle name="Neutral 2 39" xfId="1523"/>
    <cellStyle name="Neutral 2 4" xfId="1524"/>
    <cellStyle name="Neutral 2 40" xfId="1525"/>
    <cellStyle name="Neutral 2 41" xfId="1526"/>
    <cellStyle name="Neutral 2 42" xfId="1527"/>
    <cellStyle name="Neutral 2 43" xfId="1528"/>
    <cellStyle name="Neutral 2 44" xfId="1529"/>
    <cellStyle name="Neutral 2 45" xfId="1530"/>
    <cellStyle name="Neutral 2 46" xfId="1531"/>
    <cellStyle name="Neutral 2 47" xfId="1532"/>
    <cellStyle name="Neutral 2 48" xfId="1533"/>
    <cellStyle name="Neutral 2 49" xfId="1534"/>
    <cellStyle name="Neutral 2 5" xfId="1535"/>
    <cellStyle name="Neutral 2 6" xfId="1536"/>
    <cellStyle name="Neutral 2 7" xfId="1537"/>
    <cellStyle name="Neutral 2 8" xfId="1538"/>
    <cellStyle name="Neutral 2 9" xfId="1539"/>
    <cellStyle name="Normal" xfId="0" builtinId="0"/>
    <cellStyle name="Normal 10" xfId="1540"/>
    <cellStyle name="Normal 10 2" xfId="1541"/>
    <cellStyle name="Normal 100" xfId="1542"/>
    <cellStyle name="Normal 100 2" xfId="1543"/>
    <cellStyle name="Normal 101" xfId="1544"/>
    <cellStyle name="Normal 101 2" xfId="1545"/>
    <cellStyle name="Normal 102" xfId="1546"/>
    <cellStyle name="Normal 102 2" xfId="1547"/>
    <cellStyle name="Normal 103" xfId="1548"/>
    <cellStyle name="Normal 103 2" xfId="1549"/>
    <cellStyle name="Normal 104" xfId="1550"/>
    <cellStyle name="Normal 105" xfId="1551"/>
    <cellStyle name="Normal 105 2" xfId="1552"/>
    <cellStyle name="Normal 106" xfId="1553"/>
    <cellStyle name="Normal 106 2" xfId="1554"/>
    <cellStyle name="Normal 107" xfId="1555"/>
    <cellStyle name="Normal 107 2" xfId="1556"/>
    <cellStyle name="Normal 108" xfId="1557"/>
    <cellStyle name="Normal 108 2" xfId="1558"/>
    <cellStyle name="Normal 109" xfId="1559"/>
    <cellStyle name="Normal 109 2" xfId="1560"/>
    <cellStyle name="Normal 11" xfId="1561"/>
    <cellStyle name="Normal 11 2" xfId="1562"/>
    <cellStyle name="Normal 110" xfId="1563"/>
    <cellStyle name="Normal 110 2" xfId="1564"/>
    <cellStyle name="Normal 111" xfId="1565"/>
    <cellStyle name="Normal 111 2" xfId="1566"/>
    <cellStyle name="Normal 112" xfId="1567"/>
    <cellStyle name="Normal 112 2" xfId="1568"/>
    <cellStyle name="Normal 113" xfId="1569"/>
    <cellStyle name="Normal 113 2" xfId="1570"/>
    <cellStyle name="Normal 114" xfId="1571"/>
    <cellStyle name="Normal 114 2" xfId="1572"/>
    <cellStyle name="Normal 115" xfId="1573"/>
    <cellStyle name="Normal 115 2" xfId="1574"/>
    <cellStyle name="Normal 116" xfId="1575"/>
    <cellStyle name="Normal 116 2" xfId="1576"/>
    <cellStyle name="Normal 117" xfId="1577"/>
    <cellStyle name="Normal 117 2" xfId="1578"/>
    <cellStyle name="Normal 118" xfId="1579"/>
    <cellStyle name="Normal 118 2" xfId="1580"/>
    <cellStyle name="Normal 119" xfId="1581"/>
    <cellStyle name="Normal 12" xfId="1582"/>
    <cellStyle name="Normal 12 2" xfId="1583"/>
    <cellStyle name="Normal 13" xfId="1584"/>
    <cellStyle name="Normal 13 2" xfId="1585"/>
    <cellStyle name="Normal 13 3" xfId="1586"/>
    <cellStyle name="Normal 14" xfId="1587"/>
    <cellStyle name="Normal 14 2" xfId="1588"/>
    <cellStyle name="Normal 15" xfId="1589"/>
    <cellStyle name="Normal 15 2" xfId="1590"/>
    <cellStyle name="Normal 16" xfId="1591"/>
    <cellStyle name="Normal 16 2" xfId="1592"/>
    <cellStyle name="Normal 17" xfId="1593"/>
    <cellStyle name="Normal 17 2" xfId="1594"/>
    <cellStyle name="Normal 18" xfId="1595"/>
    <cellStyle name="Normal 18 2" xfId="1596"/>
    <cellStyle name="Normal 19" xfId="1597"/>
    <cellStyle name="Normal 19 2" xfId="1598"/>
    <cellStyle name="Normal 2 10" xfId="1599"/>
    <cellStyle name="Normal 2 11" xfId="1600"/>
    <cellStyle name="Normal 2 12" xfId="1601"/>
    <cellStyle name="Normal 2 13" xfId="1602"/>
    <cellStyle name="Normal 2 14" xfId="1603"/>
    <cellStyle name="Normal 2 15" xfId="1604"/>
    <cellStyle name="Normal 2 16" xfId="1605"/>
    <cellStyle name="Normal 2 17" xfId="1606"/>
    <cellStyle name="Normal 2 18" xfId="1607"/>
    <cellStyle name="Normal 2 19" xfId="1608"/>
    <cellStyle name="Normal 2 2" xfId="1609"/>
    <cellStyle name="Normal 2 20" xfId="1610"/>
    <cellStyle name="Normal 2 21" xfId="1611"/>
    <cellStyle name="Normal 2 22" xfId="1612"/>
    <cellStyle name="Normal 2 3" xfId="1613"/>
    <cellStyle name="Normal 2 4" xfId="1614"/>
    <cellStyle name="Normal 2 5" xfId="1615"/>
    <cellStyle name="Normal 2 6" xfId="1616"/>
    <cellStyle name="Normal 2 7" xfId="1617"/>
    <cellStyle name="Normal 2 8" xfId="1618"/>
    <cellStyle name="Normal 2 9" xfId="1619"/>
    <cellStyle name="Normal 20" xfId="1620"/>
    <cellStyle name="Normal 20 2" xfId="1621"/>
    <cellStyle name="Normal 21" xfId="1622"/>
    <cellStyle name="Normal 21 2" xfId="1623"/>
    <cellStyle name="Normal 22" xfId="1624"/>
    <cellStyle name="Normal 22 2" xfId="1625"/>
    <cellStyle name="Normal 23" xfId="1626"/>
    <cellStyle name="Normal 23 2" xfId="1627"/>
    <cellStyle name="Normal 24" xfId="1628"/>
    <cellStyle name="Normal 24 2" xfId="1629"/>
    <cellStyle name="Normal 25" xfId="1630"/>
    <cellStyle name="Normal 25 2" xfId="1631"/>
    <cellStyle name="Normal 26" xfId="1632"/>
    <cellStyle name="Normal 26 2" xfId="1633"/>
    <cellStyle name="Normal 27" xfId="1634"/>
    <cellStyle name="Normal 27 2" xfId="1635"/>
    <cellStyle name="Normal 28" xfId="1636"/>
    <cellStyle name="Normal 28 2" xfId="1637"/>
    <cellStyle name="Normal 29" xfId="1638"/>
    <cellStyle name="Normal 29 2" xfId="1639"/>
    <cellStyle name="Normal 3" xfId="1640"/>
    <cellStyle name="Normal 3 2" xfId="1641"/>
    <cellStyle name="Normal 30" xfId="1642"/>
    <cellStyle name="Normal 30 2" xfId="1643"/>
    <cellStyle name="Normal 31" xfId="1644"/>
    <cellStyle name="Normal 31 2" xfId="1645"/>
    <cellStyle name="Normal 32" xfId="1646"/>
    <cellStyle name="Normal 32 2" xfId="1647"/>
    <cellStyle name="Normal 33" xfId="1648"/>
    <cellStyle name="Normal 33 2" xfId="1649"/>
    <cellStyle name="Normal 34" xfId="1650"/>
    <cellStyle name="Normal 34 2" xfId="1651"/>
    <cellStyle name="Normal 35" xfId="1652"/>
    <cellStyle name="Normal 35 2" xfId="1653"/>
    <cellStyle name="Normal 36" xfId="1654"/>
    <cellStyle name="Normal 36 2" xfId="1655"/>
    <cellStyle name="Normal 37" xfId="1656"/>
    <cellStyle name="Normal 37 2" xfId="1657"/>
    <cellStyle name="Normal 38" xfId="1658"/>
    <cellStyle name="Normal 38 2" xfId="1659"/>
    <cellStyle name="Normal 39" xfId="1660"/>
    <cellStyle name="Normal 39 2" xfId="1661"/>
    <cellStyle name="Normal 4" xfId="1662"/>
    <cellStyle name="Normal 4 2" xfId="1663"/>
    <cellStyle name="Normal 40" xfId="1664"/>
    <cellStyle name="Normal 40 2" xfId="1665"/>
    <cellStyle name="Normal 41" xfId="1666"/>
    <cellStyle name="Normal 41 2" xfId="1667"/>
    <cellStyle name="Normal 42" xfId="1668"/>
    <cellStyle name="Normal 42 2" xfId="1669"/>
    <cellStyle name="Normal 43" xfId="1670"/>
    <cellStyle name="Normal 43 2" xfId="1671"/>
    <cellStyle name="Normal 44" xfId="1672"/>
    <cellStyle name="Normal 44 2" xfId="1673"/>
    <cellStyle name="Normal 45" xfId="1674"/>
    <cellStyle name="Normal 45 2" xfId="1675"/>
    <cellStyle name="Normal 46" xfId="1676"/>
    <cellStyle name="Normal 46 2" xfId="1677"/>
    <cellStyle name="Normal 47" xfId="1678"/>
    <cellStyle name="Normal 47 2" xfId="1679"/>
    <cellStyle name="Normal 48" xfId="1680"/>
    <cellStyle name="Normal 48 2" xfId="1681"/>
    <cellStyle name="Normal 49" xfId="1682"/>
    <cellStyle name="Normal 49 2" xfId="1683"/>
    <cellStyle name="Normal 5" xfId="1684"/>
    <cellStyle name="Normal 5 2" xfId="1685"/>
    <cellStyle name="Normal 50" xfId="1686"/>
    <cellStyle name="Normal 50 2" xfId="1687"/>
    <cellStyle name="Normal 51" xfId="1688"/>
    <cellStyle name="Normal 51 2" xfId="1689"/>
    <cellStyle name="Normal 52" xfId="1690"/>
    <cellStyle name="Normal 52 2" xfId="1691"/>
    <cellStyle name="Normal 53" xfId="1692"/>
    <cellStyle name="Normal 53 2" xfId="1693"/>
    <cellStyle name="Normal 54" xfId="1694"/>
    <cellStyle name="Normal 54 2" xfId="1695"/>
    <cellStyle name="Normal 55" xfId="1696"/>
    <cellStyle name="Normal 55 2" xfId="1697"/>
    <cellStyle name="Normal 56" xfId="1698"/>
    <cellStyle name="Normal 56 2" xfId="1699"/>
    <cellStyle name="Normal 57" xfId="1700"/>
    <cellStyle name="Normal 57 2" xfId="1701"/>
    <cellStyle name="Normal 58" xfId="1702"/>
    <cellStyle name="Normal 58 2" xfId="1703"/>
    <cellStyle name="Normal 59" xfId="1704"/>
    <cellStyle name="Normal 59 2" xfId="1705"/>
    <cellStyle name="Normal 6" xfId="1706"/>
    <cellStyle name="Normal 6 2" xfId="1707"/>
    <cellStyle name="Normal 60" xfId="1708"/>
    <cellStyle name="Normal 60 2" xfId="1709"/>
    <cellStyle name="Normal 61" xfId="1710"/>
    <cellStyle name="Normal 61 2" xfId="1711"/>
    <cellStyle name="Normal 62" xfId="1712"/>
    <cellStyle name="Normal 62 2" xfId="1713"/>
    <cellStyle name="Normal 63" xfId="1714"/>
    <cellStyle name="Normal 63 2" xfId="1715"/>
    <cellStyle name="Normal 64" xfId="1716"/>
    <cellStyle name="Normal 64 2" xfId="1717"/>
    <cellStyle name="Normal 65" xfId="1718"/>
    <cellStyle name="Normal 65 2" xfId="1719"/>
    <cellStyle name="Normal 66" xfId="1720"/>
    <cellStyle name="Normal 66 2" xfId="1721"/>
    <cellStyle name="Normal 67" xfId="1722"/>
    <cellStyle name="Normal 67 2" xfId="1723"/>
    <cellStyle name="Normal 68" xfId="1724"/>
    <cellStyle name="Normal 68 2" xfId="1725"/>
    <cellStyle name="Normal 69" xfId="1726"/>
    <cellStyle name="Normal 69 2" xfId="1727"/>
    <cellStyle name="Normal 7" xfId="1728"/>
    <cellStyle name="Normal 7 2" xfId="1729"/>
    <cellStyle name="Normal 70" xfId="1730"/>
    <cellStyle name="Normal 70 2" xfId="1731"/>
    <cellStyle name="Normal 71" xfId="1732"/>
    <cellStyle name="Normal 71 2" xfId="1733"/>
    <cellStyle name="Normal 72" xfId="1734"/>
    <cellStyle name="Normal 72 2" xfId="1735"/>
    <cellStyle name="Normal 73" xfId="1736"/>
    <cellStyle name="Normal 73 2" xfId="1737"/>
    <cellStyle name="Normal 74" xfId="1738"/>
    <cellStyle name="Normal 74 2" xfId="1739"/>
    <cellStyle name="Normal 75" xfId="1740"/>
    <cellStyle name="Normal 75 2" xfId="1741"/>
    <cellStyle name="Normal 76" xfId="1742"/>
    <cellStyle name="Normal 76 2" xfId="1743"/>
    <cellStyle name="Normal 77" xfId="1744"/>
    <cellStyle name="Normal 77 2" xfId="1745"/>
    <cellStyle name="Normal 78" xfId="1746"/>
    <cellStyle name="Normal 78 2" xfId="1747"/>
    <cellStyle name="Normal 79" xfId="1748"/>
    <cellStyle name="Normal 79 2" xfId="1749"/>
    <cellStyle name="Normal 8" xfId="1750"/>
    <cellStyle name="Normal 8 2" xfId="1751"/>
    <cellStyle name="Normal 80" xfId="1752"/>
    <cellStyle name="Normal 80 2" xfId="1753"/>
    <cellStyle name="Normal 81" xfId="1754"/>
    <cellStyle name="Normal 81 2" xfId="1755"/>
    <cellStyle name="Normal 82" xfId="1756"/>
    <cellStyle name="Normal 82 2" xfId="1757"/>
    <cellStyle name="Normal 83" xfId="1758"/>
    <cellStyle name="Normal 83 2" xfId="1759"/>
    <cellStyle name="Normal 84" xfId="1760"/>
    <cellStyle name="Normal 84 2" xfId="1761"/>
    <cellStyle name="Normal 85" xfId="1762"/>
    <cellStyle name="Normal 85 2" xfId="1763"/>
    <cellStyle name="Normal 86" xfId="1764"/>
    <cellStyle name="Normal 86 2" xfId="1765"/>
    <cellStyle name="Normal 87" xfId="1766"/>
    <cellStyle name="Normal 87 2" xfId="1767"/>
    <cellStyle name="Normal 88" xfId="1768"/>
    <cellStyle name="Normal 88 2" xfId="1769"/>
    <cellStyle name="Normal 89" xfId="1770"/>
    <cellStyle name="Normal 89 2" xfId="1771"/>
    <cellStyle name="Normal 9" xfId="1772"/>
    <cellStyle name="Normal 9 2" xfId="1773"/>
    <cellStyle name="Normal 90" xfId="1774"/>
    <cellStyle name="Normal 90 2" xfId="1775"/>
    <cellStyle name="Normal 91" xfId="1776"/>
    <cellStyle name="Normal 91 2" xfId="1777"/>
    <cellStyle name="Normal 92" xfId="1778"/>
    <cellStyle name="Normal 92 2" xfId="1779"/>
    <cellStyle name="Normal 93" xfId="1780"/>
    <cellStyle name="Normal 93 2" xfId="1781"/>
    <cellStyle name="Normal 94" xfId="1782"/>
    <cellStyle name="Normal 94 2" xfId="1783"/>
    <cellStyle name="Normal 95" xfId="1784"/>
    <cellStyle name="Normal 95 2" xfId="1785"/>
    <cellStyle name="Normal 96" xfId="1786"/>
    <cellStyle name="Normal 96 2" xfId="1787"/>
    <cellStyle name="Normal 97" xfId="1788"/>
    <cellStyle name="Normal 97 2" xfId="1789"/>
    <cellStyle name="Normal 98" xfId="1790"/>
    <cellStyle name="Normal 98 2" xfId="1791"/>
    <cellStyle name="Normal 99" xfId="1792"/>
    <cellStyle name="Normal 99 2" xfId="1793"/>
    <cellStyle name="Note 2" xfId="1794"/>
    <cellStyle name="Note 2 10" xfId="1795"/>
    <cellStyle name="Note 2 11" xfId="1796"/>
    <cellStyle name="Note 2 12" xfId="1797"/>
    <cellStyle name="Note 2 13" xfId="1798"/>
    <cellStyle name="Note 2 14" xfId="1799"/>
    <cellStyle name="Note 2 15" xfId="1800"/>
    <cellStyle name="Note 2 16" xfId="1801"/>
    <cellStyle name="Note 2 17" xfId="1802"/>
    <cellStyle name="Note 2 18" xfId="1803"/>
    <cellStyle name="Note 2 19" xfId="1804"/>
    <cellStyle name="Note 2 2" xfId="1805"/>
    <cellStyle name="Note 2 20" xfId="1806"/>
    <cellStyle name="Note 2 21" xfId="1807"/>
    <cellStyle name="Note 2 22" xfId="1808"/>
    <cellStyle name="Note 2 23" xfId="1809"/>
    <cellStyle name="Note 2 24" xfId="1810"/>
    <cellStyle name="Note 2 25" xfId="1811"/>
    <cellStyle name="Note 2 26" xfId="1812"/>
    <cellStyle name="Note 2 27" xfId="1813"/>
    <cellStyle name="Note 2 28" xfId="1814"/>
    <cellStyle name="Note 2 29" xfId="1815"/>
    <cellStyle name="Note 2 3" xfId="1816"/>
    <cellStyle name="Note 2 30" xfId="1817"/>
    <cellStyle name="Note 2 31" xfId="1818"/>
    <cellStyle name="Note 2 32" xfId="1819"/>
    <cellStyle name="Note 2 33" xfId="1820"/>
    <cellStyle name="Note 2 34" xfId="1821"/>
    <cellStyle name="Note 2 35" xfId="1822"/>
    <cellStyle name="Note 2 36" xfId="1823"/>
    <cellStyle name="Note 2 37" xfId="1824"/>
    <cellStyle name="Note 2 38" xfId="1825"/>
    <cellStyle name="Note 2 39" xfId="1826"/>
    <cellStyle name="Note 2 4" xfId="1827"/>
    <cellStyle name="Note 2 40" xfId="1828"/>
    <cellStyle name="Note 2 41" xfId="1829"/>
    <cellStyle name="Note 2 42" xfId="1830"/>
    <cellStyle name="Note 2 43" xfId="1831"/>
    <cellStyle name="Note 2 44" xfId="1832"/>
    <cellStyle name="Note 2 45" xfId="1833"/>
    <cellStyle name="Note 2 46" xfId="1834"/>
    <cellStyle name="Note 2 47" xfId="1835"/>
    <cellStyle name="Note 2 48" xfId="1836"/>
    <cellStyle name="Note 2 49" xfId="1837"/>
    <cellStyle name="Note 2 5" xfId="1838"/>
    <cellStyle name="Note 2 6" xfId="1839"/>
    <cellStyle name="Note 2 7" xfId="1840"/>
    <cellStyle name="Note 2 8" xfId="1841"/>
    <cellStyle name="Note 2 9" xfId="1842"/>
    <cellStyle name="Output 2" xfId="1843"/>
    <cellStyle name="Output 2 10" xfId="1844"/>
    <cellStyle name="Output 2 11" xfId="1845"/>
    <cellStyle name="Output 2 12" xfId="1846"/>
    <cellStyle name="Output 2 13" xfId="1847"/>
    <cellStyle name="Output 2 14" xfId="1848"/>
    <cellStyle name="Output 2 15" xfId="1849"/>
    <cellStyle name="Output 2 16" xfId="1850"/>
    <cellStyle name="Output 2 17" xfId="1851"/>
    <cellStyle name="Output 2 18" xfId="1852"/>
    <cellStyle name="Output 2 19" xfId="1853"/>
    <cellStyle name="Output 2 2" xfId="1854"/>
    <cellStyle name="Output 2 20" xfId="1855"/>
    <cellStyle name="Output 2 21" xfId="1856"/>
    <cellStyle name="Output 2 22" xfId="1857"/>
    <cellStyle name="Output 2 23" xfId="1858"/>
    <cellStyle name="Output 2 24" xfId="1859"/>
    <cellStyle name="Output 2 25" xfId="1860"/>
    <cellStyle name="Output 2 26" xfId="1861"/>
    <cellStyle name="Output 2 27" xfId="1862"/>
    <cellStyle name="Output 2 28" xfId="1863"/>
    <cellStyle name="Output 2 29" xfId="1864"/>
    <cellStyle name="Output 2 3" xfId="1865"/>
    <cellStyle name="Output 2 30" xfId="1866"/>
    <cellStyle name="Output 2 31" xfId="1867"/>
    <cellStyle name="Output 2 32" xfId="1868"/>
    <cellStyle name="Output 2 33" xfId="1869"/>
    <cellStyle name="Output 2 34" xfId="1870"/>
    <cellStyle name="Output 2 35" xfId="1871"/>
    <cellStyle name="Output 2 36" xfId="1872"/>
    <cellStyle name="Output 2 37" xfId="1873"/>
    <cellStyle name="Output 2 38" xfId="1874"/>
    <cellStyle name="Output 2 39" xfId="1875"/>
    <cellStyle name="Output 2 4" xfId="1876"/>
    <cellStyle name="Output 2 40" xfId="1877"/>
    <cellStyle name="Output 2 41" xfId="1878"/>
    <cellStyle name="Output 2 42" xfId="1879"/>
    <cellStyle name="Output 2 43" xfId="1880"/>
    <cellStyle name="Output 2 44" xfId="1881"/>
    <cellStyle name="Output 2 45" xfId="1882"/>
    <cellStyle name="Output 2 46" xfId="1883"/>
    <cellStyle name="Output 2 47" xfId="1884"/>
    <cellStyle name="Output 2 48" xfId="1885"/>
    <cellStyle name="Output 2 49" xfId="1886"/>
    <cellStyle name="Output 2 5" xfId="1887"/>
    <cellStyle name="Output 2 6" xfId="1888"/>
    <cellStyle name="Output 2 7" xfId="1889"/>
    <cellStyle name="Output 2 8" xfId="1890"/>
    <cellStyle name="Output 2 9" xfId="1891"/>
    <cellStyle name="Standard_2006-UK" xfId="1892"/>
    <cellStyle name="Title 2" xfId="1893"/>
    <cellStyle name="Title 2 10" xfId="1894"/>
    <cellStyle name="Title 2 11" xfId="1895"/>
    <cellStyle name="Title 2 12" xfId="1896"/>
    <cellStyle name="Title 2 13" xfId="1897"/>
    <cellStyle name="Title 2 14" xfId="1898"/>
    <cellStyle name="Title 2 15" xfId="1899"/>
    <cellStyle name="Title 2 16" xfId="1900"/>
    <cellStyle name="Title 2 17" xfId="1901"/>
    <cellStyle name="Title 2 18" xfId="1902"/>
    <cellStyle name="Title 2 19" xfId="1903"/>
    <cellStyle name="Title 2 2" xfId="1904"/>
    <cellStyle name="Title 2 20" xfId="1905"/>
    <cellStyle name="Title 2 21" xfId="1906"/>
    <cellStyle name="Title 2 22" xfId="1907"/>
    <cellStyle name="Title 2 23" xfId="1908"/>
    <cellStyle name="Title 2 24" xfId="1909"/>
    <cellStyle name="Title 2 25" xfId="1910"/>
    <cellStyle name="Title 2 26" xfId="1911"/>
    <cellStyle name="Title 2 27" xfId="1912"/>
    <cellStyle name="Title 2 28" xfId="1913"/>
    <cellStyle name="Title 2 29" xfId="1914"/>
    <cellStyle name="Title 2 3" xfId="1915"/>
    <cellStyle name="Title 2 30" xfId="1916"/>
    <cellStyle name="Title 2 31" xfId="1917"/>
    <cellStyle name="Title 2 32" xfId="1918"/>
    <cellStyle name="Title 2 33" xfId="1919"/>
    <cellStyle name="Title 2 34" xfId="1920"/>
    <cellStyle name="Title 2 35" xfId="1921"/>
    <cellStyle name="Title 2 36" xfId="1922"/>
    <cellStyle name="Title 2 37" xfId="1923"/>
    <cellStyle name="Title 2 38" xfId="1924"/>
    <cellStyle name="Title 2 39" xfId="1925"/>
    <cellStyle name="Title 2 4" xfId="1926"/>
    <cellStyle name="Title 2 40" xfId="1927"/>
    <cellStyle name="Title 2 41" xfId="1928"/>
    <cellStyle name="Title 2 42" xfId="1929"/>
    <cellStyle name="Title 2 43" xfId="1930"/>
    <cellStyle name="Title 2 44" xfId="1931"/>
    <cellStyle name="Title 2 45" xfId="1932"/>
    <cellStyle name="Title 2 46" xfId="1933"/>
    <cellStyle name="Title 2 47" xfId="1934"/>
    <cellStyle name="Title 2 48" xfId="1935"/>
    <cellStyle name="Title 2 49" xfId="1936"/>
    <cellStyle name="Title 2 49 2" xfId="1937"/>
    <cellStyle name="Title 2 5" xfId="1938"/>
    <cellStyle name="Title 2 50" xfId="1939"/>
    <cellStyle name="Title 2 50 2" xfId="1940"/>
    <cellStyle name="Title 2 6" xfId="1941"/>
    <cellStyle name="Title 2 7" xfId="1942"/>
    <cellStyle name="Title 2 8" xfId="1943"/>
    <cellStyle name="Title 2 9" xfId="1944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0" xfId="1957"/>
    <cellStyle name="Total 2 21" xfId="1958"/>
    <cellStyle name="Total 2 22" xfId="1959"/>
    <cellStyle name="Total 2 23" xfId="1960"/>
    <cellStyle name="Total 2 24" xfId="1961"/>
    <cellStyle name="Total 2 25" xfId="1962"/>
    <cellStyle name="Total 2 26" xfId="1963"/>
    <cellStyle name="Total 2 27" xfId="1964"/>
    <cellStyle name="Total 2 28" xfId="1965"/>
    <cellStyle name="Total 2 29" xfId="1966"/>
    <cellStyle name="Total 2 3" xfId="1967"/>
    <cellStyle name="Total 2 30" xfId="1968"/>
    <cellStyle name="Total 2 31" xfId="1969"/>
    <cellStyle name="Total 2 32" xfId="1970"/>
    <cellStyle name="Total 2 33" xfId="1971"/>
    <cellStyle name="Total 2 34" xfId="1972"/>
    <cellStyle name="Total 2 35" xfId="1973"/>
    <cellStyle name="Total 2 36" xfId="1974"/>
    <cellStyle name="Total 2 37" xfId="1975"/>
    <cellStyle name="Total 2 38" xfId="1976"/>
    <cellStyle name="Total 2 39" xfId="1977"/>
    <cellStyle name="Total 2 4" xfId="1978"/>
    <cellStyle name="Total 2 40" xfId="1979"/>
    <cellStyle name="Total 2 41" xfId="1980"/>
    <cellStyle name="Total 2 42" xfId="1981"/>
    <cellStyle name="Total 2 43" xfId="1982"/>
    <cellStyle name="Total 2 44" xfId="1983"/>
    <cellStyle name="Total 2 45" xfId="1984"/>
    <cellStyle name="Total 2 46" xfId="1985"/>
    <cellStyle name="Total 2 47" xfId="1986"/>
    <cellStyle name="Total 2 48" xfId="1987"/>
    <cellStyle name="Total 2 49" xfId="1988"/>
    <cellStyle name="Total 2 5" xfId="1989"/>
    <cellStyle name="Total 2 6" xfId="1990"/>
    <cellStyle name="Total 2 7" xfId="1991"/>
    <cellStyle name="Total 2 8" xfId="1992"/>
    <cellStyle name="Total 2 9" xfId="1993"/>
    <cellStyle name="Warning Text" xfId="1994" builtinId="11" customBuiltin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dmt\RLDLwork\2009\herbage\irg_hrg\irgy2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P1"/>
      <sheetName val="M1P2"/>
      <sheetName val="M1P3"/>
      <sheetName val="M1P4"/>
      <sheetName val="M1P5"/>
      <sheetName val="M2P1"/>
      <sheetName val="M2P2"/>
      <sheetName val="M2P3"/>
      <sheetName val="M2P4"/>
      <sheetName val="M2P5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3">
          <cell r="I63">
            <v>7.1369999999999996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2"/>
  <sheetViews>
    <sheetView zoomScale="91" zoomScaleNormal="91" workbookViewId="0">
      <selection activeCell="Q45" sqref="Q45"/>
    </sheetView>
  </sheetViews>
  <sheetFormatPr defaultColWidth="9.140625" defaultRowHeight="12.75" x14ac:dyDescent="0.2"/>
  <cols>
    <col min="1" max="1" width="45.5703125" style="6" customWidth="1"/>
    <col min="2" max="2" width="10.5703125" style="110" customWidth="1"/>
    <col min="3" max="3" width="9.28515625" style="110" customWidth="1"/>
    <col min="4" max="4" width="10.7109375" style="110" customWidth="1"/>
    <col min="5" max="7" width="10.28515625" style="110" customWidth="1"/>
    <col min="8" max="8" width="9.28515625" style="110" customWidth="1"/>
    <col min="9" max="10" width="10.28515625" style="110" customWidth="1"/>
    <col min="11" max="11" width="10.28515625" style="119" customWidth="1"/>
    <col min="12" max="12" width="6.28515625" style="6" customWidth="1"/>
    <col min="13" max="15" width="9.140625" style="753"/>
    <col min="16" max="24" width="9.140625" style="52"/>
    <col min="25" max="16384" width="9.140625" style="6"/>
  </cols>
  <sheetData>
    <row r="1" spans="1:24" ht="15" x14ac:dyDescent="0.25">
      <c r="A1" s="48" t="s">
        <v>196</v>
      </c>
      <c r="B1" s="112"/>
      <c r="C1" s="112"/>
      <c r="D1" s="3"/>
      <c r="E1" s="3"/>
      <c r="F1" s="3"/>
      <c r="G1" s="3"/>
      <c r="H1" s="112"/>
      <c r="I1" s="762"/>
      <c r="J1" s="763"/>
      <c r="K1" s="763"/>
      <c r="L1" s="763"/>
      <c r="M1" s="752"/>
    </row>
    <row r="2" spans="1:24" ht="15" customHeight="1" thickBot="1" x14ac:dyDescent="0.3">
      <c r="A2" s="49"/>
      <c r="B2" s="112"/>
      <c r="C2" s="112"/>
      <c r="D2" s="3"/>
      <c r="E2" s="3"/>
      <c r="F2" s="3"/>
      <c r="G2" s="3"/>
      <c r="H2" s="112"/>
      <c r="I2" s="3"/>
      <c r="J2" s="3"/>
      <c r="K2" s="3"/>
      <c r="L2" s="3"/>
    </row>
    <row r="3" spans="1:24" ht="15.6" customHeight="1" thickBot="1" x14ac:dyDescent="0.3">
      <c r="A3" s="174"/>
      <c r="B3" s="175"/>
      <c r="C3" s="176"/>
      <c r="D3" s="1179" t="s">
        <v>28</v>
      </c>
      <c r="E3" s="1179"/>
      <c r="F3" s="1179"/>
      <c r="G3" s="1180"/>
      <c r="H3" s="176"/>
      <c r="I3" s="1181" t="s">
        <v>29</v>
      </c>
      <c r="J3" s="1181"/>
      <c r="K3" s="1182"/>
      <c r="L3" s="1171"/>
    </row>
    <row r="4" spans="1:24" ht="91.15" customHeight="1" x14ac:dyDescent="0.2">
      <c r="A4" s="177"/>
      <c r="B4" s="178" t="s">
        <v>179</v>
      </c>
      <c r="C4" s="59" t="s">
        <v>234</v>
      </c>
      <c r="D4" s="22" t="s">
        <v>69</v>
      </c>
      <c r="E4" s="21" t="s">
        <v>70</v>
      </c>
      <c r="F4" s="719" t="s">
        <v>137</v>
      </c>
      <c r="G4" s="21" t="s">
        <v>139</v>
      </c>
      <c r="H4" s="59" t="s">
        <v>180</v>
      </c>
      <c r="I4" s="875" t="s">
        <v>230</v>
      </c>
      <c r="J4" s="784" t="s">
        <v>231</v>
      </c>
      <c r="K4" s="1167" t="s">
        <v>232</v>
      </c>
      <c r="L4" s="1060"/>
    </row>
    <row r="5" spans="1:24" ht="17.25" customHeight="1" x14ac:dyDescent="0.2">
      <c r="A5" s="50" t="s">
        <v>31</v>
      </c>
      <c r="B5" s="61" t="s">
        <v>6</v>
      </c>
      <c r="C5" s="61" t="s">
        <v>6</v>
      </c>
      <c r="D5" s="24" t="s">
        <v>2</v>
      </c>
      <c r="E5" s="24" t="s">
        <v>2</v>
      </c>
      <c r="F5" s="652" t="s">
        <v>3</v>
      </c>
      <c r="G5" s="652" t="s">
        <v>3</v>
      </c>
      <c r="H5" s="61" t="s">
        <v>6</v>
      </c>
      <c r="I5" s="790" t="s">
        <v>2</v>
      </c>
      <c r="J5" s="785" t="s">
        <v>5</v>
      </c>
      <c r="K5" s="1168" t="s">
        <v>4</v>
      </c>
      <c r="L5" s="1060"/>
    </row>
    <row r="6" spans="1:24" ht="17.25" customHeight="1" x14ac:dyDescent="0.2">
      <c r="A6" s="1020" t="s">
        <v>13</v>
      </c>
      <c r="B6" s="1021" t="s">
        <v>6</v>
      </c>
      <c r="C6" s="1021" t="s">
        <v>6</v>
      </c>
      <c r="D6" s="54">
        <v>131.643</v>
      </c>
      <c r="E6" s="25">
        <v>134.083</v>
      </c>
      <c r="F6" s="25">
        <v>137.661</v>
      </c>
      <c r="G6" s="28">
        <v>139.65600000000001</v>
      </c>
      <c r="H6" s="32" t="s">
        <v>6</v>
      </c>
      <c r="I6" s="1035">
        <v>129.91300000000001</v>
      </c>
      <c r="J6" s="25">
        <v>137.28352281802893</v>
      </c>
      <c r="K6" s="1149">
        <v>138.28399999999999</v>
      </c>
      <c r="L6" s="1060"/>
    </row>
    <row r="7" spans="1:24" s="27" customFormat="1" ht="16.5" customHeight="1" x14ac:dyDescent="0.2">
      <c r="A7" s="1022" t="s">
        <v>16</v>
      </c>
      <c r="B7" s="1023"/>
      <c r="C7" s="1023"/>
      <c r="D7" s="1024"/>
      <c r="E7" s="1024"/>
      <c r="F7" s="1024"/>
      <c r="G7" s="1025"/>
      <c r="H7" s="1023"/>
      <c r="I7" s="1032"/>
      <c r="J7" s="1025"/>
      <c r="K7" s="630"/>
      <c r="L7" s="559"/>
      <c r="M7" s="754"/>
      <c r="N7" s="754"/>
      <c r="O7" s="754"/>
      <c r="P7" s="247"/>
      <c r="Q7" s="247"/>
      <c r="R7" s="247"/>
      <c r="S7" s="247"/>
      <c r="T7" s="247"/>
      <c r="U7" s="247"/>
      <c r="V7" s="247"/>
      <c r="W7" s="247"/>
      <c r="X7" s="247"/>
    </row>
    <row r="8" spans="1:24" s="27" customFormat="1" ht="16.5" customHeight="1" x14ac:dyDescent="0.2">
      <c r="A8" s="802" t="s">
        <v>356</v>
      </c>
      <c r="B8" s="494">
        <v>100</v>
      </c>
      <c r="C8" s="495">
        <v>98.865641413842198</v>
      </c>
      <c r="D8" s="496">
        <v>97.496346213087932</v>
      </c>
      <c r="E8" s="496">
        <v>100.23493661459645</v>
      </c>
      <c r="F8" s="699">
        <v>96.660208300468412</v>
      </c>
      <c r="G8" s="496">
        <v>97.904251832009166</v>
      </c>
      <c r="H8" s="495">
        <v>98.371500823655893</v>
      </c>
      <c r="I8" s="497">
        <v>96.517323262289182</v>
      </c>
      <c r="J8" s="496">
        <v>100.22567838502262</v>
      </c>
      <c r="K8" s="720">
        <v>96.264205016970891</v>
      </c>
      <c r="L8" s="559"/>
      <c r="M8" s="755"/>
      <c r="N8" s="754"/>
      <c r="O8" s="754"/>
      <c r="P8" s="247"/>
      <c r="Q8" s="247"/>
      <c r="R8" s="247"/>
      <c r="S8" s="247"/>
      <c r="T8" s="247"/>
      <c r="U8" s="247"/>
      <c r="V8" s="247"/>
      <c r="W8" s="247"/>
      <c r="X8" s="247"/>
    </row>
    <row r="9" spans="1:24" s="27" customFormat="1" ht="16.5" customHeight="1" x14ac:dyDescent="0.2">
      <c r="A9" s="885" t="s">
        <v>370</v>
      </c>
      <c r="B9" s="498">
        <f>65+12.1948785603773</f>
        <v>77.194878560377305</v>
      </c>
      <c r="C9" s="499">
        <f>65+11.5154787631228</f>
        <v>76.5154787631228</v>
      </c>
      <c r="D9" s="500">
        <f>65+11.6057178581836</f>
        <v>76.605717858183596</v>
      </c>
      <c r="E9" s="500">
        <f>65+11.4252396680621</f>
        <v>76.425239668062105</v>
      </c>
      <c r="F9" s="501">
        <f>65+11.968718309558</f>
        <v>76.968718309558</v>
      </c>
      <c r="G9" s="500">
        <f>65+12.1923937318602</f>
        <v>77.192393731860193</v>
      </c>
      <c r="H9" s="499">
        <f>65+12.1306225483786</f>
        <v>77.130622548378597</v>
      </c>
      <c r="I9" s="502">
        <f>65+12.2564403146124</f>
        <v>77.256440314612405</v>
      </c>
      <c r="J9" s="500">
        <f>65+12.0048047821448</f>
        <v>77.004804782144802</v>
      </c>
      <c r="K9" s="721">
        <f>65+12.3797774750749</f>
        <v>77.379777475074903</v>
      </c>
      <c r="L9" s="559"/>
      <c r="M9" s="755"/>
      <c r="N9" s="754"/>
      <c r="O9" s="754"/>
      <c r="P9" s="247"/>
      <c r="Q9" s="247"/>
      <c r="R9" s="247"/>
      <c r="S9" s="247"/>
      <c r="T9" s="247"/>
      <c r="U9" s="247"/>
      <c r="V9" s="247"/>
      <c r="W9" s="247"/>
      <c r="X9" s="247"/>
    </row>
    <row r="10" spans="1:24" s="27" customFormat="1" ht="16.5" customHeight="1" x14ac:dyDescent="0.2">
      <c r="A10" s="805" t="s">
        <v>355</v>
      </c>
      <c r="B10" s="503">
        <v>100</v>
      </c>
      <c r="C10" s="356">
        <v>97.976196527460687</v>
      </c>
      <c r="D10" s="232">
        <v>96.663369012594941</v>
      </c>
      <c r="E10" s="232">
        <v>99.289024042326389</v>
      </c>
      <c r="F10" s="357">
        <v>96.231753734586164</v>
      </c>
      <c r="G10" s="232">
        <v>97.594367676924108</v>
      </c>
      <c r="H10" s="356">
        <v>98.222433434862808</v>
      </c>
      <c r="I10" s="233">
        <v>96.497554441059734</v>
      </c>
      <c r="J10" s="232">
        <v>99.947312428665896</v>
      </c>
      <c r="K10" s="238">
        <v>96.484035312332381</v>
      </c>
      <c r="L10" s="559"/>
      <c r="M10" s="755"/>
      <c r="N10" s="754"/>
      <c r="O10" s="754"/>
      <c r="P10" s="247"/>
      <c r="Q10" s="247"/>
      <c r="R10" s="247"/>
      <c r="S10" s="247"/>
      <c r="T10" s="247"/>
      <c r="U10" s="247"/>
      <c r="V10" s="247"/>
      <c r="W10" s="247"/>
      <c r="X10" s="247"/>
    </row>
    <row r="11" spans="1:24" s="27" customFormat="1" ht="16.5" customHeight="1" x14ac:dyDescent="0.2">
      <c r="A11" s="490" t="s">
        <v>17</v>
      </c>
      <c r="B11" s="241"/>
      <c r="C11" s="491"/>
      <c r="D11" s="492"/>
      <c r="E11" s="492"/>
      <c r="F11" s="492"/>
      <c r="G11" s="492"/>
      <c r="H11" s="491"/>
      <c r="I11" s="492"/>
      <c r="J11" s="492"/>
      <c r="K11" s="492"/>
      <c r="L11" s="559"/>
      <c r="M11" s="755"/>
      <c r="N11" s="754"/>
      <c r="O11" s="754"/>
      <c r="P11" s="247"/>
      <c r="Q11" s="247"/>
      <c r="R11" s="247"/>
      <c r="S11" s="247"/>
      <c r="T11" s="247"/>
      <c r="U11" s="247"/>
      <c r="V11" s="247"/>
      <c r="W11" s="247"/>
      <c r="X11" s="247"/>
    </row>
    <row r="12" spans="1:24" s="27" customFormat="1" ht="16.5" customHeight="1" x14ac:dyDescent="0.2">
      <c r="A12" s="803" t="s">
        <v>353</v>
      </c>
      <c r="B12" s="512">
        <v>100</v>
      </c>
      <c r="C12" s="513">
        <v>103.60110559457929</v>
      </c>
      <c r="D12" s="701">
        <v>103.87224585157861</v>
      </c>
      <c r="E12" s="701">
        <v>103.32996533757999</v>
      </c>
      <c r="F12" s="702">
        <v>98.301493653501396</v>
      </c>
      <c r="G12" s="701">
        <v>102.52250824726674</v>
      </c>
      <c r="H12" s="513">
        <v>101.80918535700272</v>
      </c>
      <c r="I12" s="497">
        <v>101.70734960509564</v>
      </c>
      <c r="J12" s="701">
        <v>101.91102110890978</v>
      </c>
      <c r="K12" s="728">
        <v>101.96880562565904</v>
      </c>
      <c r="L12" s="559"/>
      <c r="M12" s="755"/>
      <c r="N12" s="754"/>
      <c r="O12" s="754"/>
      <c r="P12" s="247"/>
      <c r="Q12" s="247"/>
      <c r="R12" s="247"/>
      <c r="S12" s="247"/>
      <c r="T12" s="247"/>
      <c r="U12" s="247"/>
      <c r="V12" s="247"/>
      <c r="W12" s="247"/>
      <c r="X12" s="247"/>
    </row>
    <row r="13" spans="1:24" s="27" customFormat="1" ht="27.75" customHeight="1" x14ac:dyDescent="0.2">
      <c r="A13" s="856" t="s">
        <v>168</v>
      </c>
      <c r="B13" s="229">
        <v>100</v>
      </c>
      <c r="C13" s="356">
        <v>97.204336480642766</v>
      </c>
      <c r="D13" s="232">
        <v>98.559358594871568</v>
      </c>
      <c r="E13" s="232">
        <v>95.849314366413964</v>
      </c>
      <c r="F13" s="357">
        <v>92.667132323186763</v>
      </c>
      <c r="G13" s="232">
        <v>96.907317215701269</v>
      </c>
      <c r="H13" s="356">
        <v>97.430278555531132</v>
      </c>
      <c r="I13" s="233">
        <v>98.23285823531522</v>
      </c>
      <c r="J13" s="232">
        <v>96.627698875747043</v>
      </c>
      <c r="K13" s="238">
        <v>101.38062718517403</v>
      </c>
      <c r="L13" s="559"/>
      <c r="M13" s="757"/>
      <c r="N13" s="754"/>
      <c r="O13" s="754"/>
      <c r="P13" s="247"/>
      <c r="Q13" s="247"/>
      <c r="R13" s="247"/>
      <c r="S13" s="247"/>
      <c r="T13" s="247"/>
      <c r="U13" s="247"/>
      <c r="V13" s="247"/>
      <c r="W13" s="247"/>
      <c r="X13" s="247"/>
    </row>
    <row r="14" spans="1:24" s="27" customFormat="1" ht="16.5" customHeight="1" x14ac:dyDescent="0.2">
      <c r="A14" s="803" t="s">
        <v>169</v>
      </c>
      <c r="B14" s="512">
        <v>100</v>
      </c>
      <c r="C14" s="516">
        <v>99.732423715710695</v>
      </c>
      <c r="D14" s="704">
        <v>100.48685666702185</v>
      </c>
      <c r="E14" s="704">
        <v>98.977990764399536</v>
      </c>
      <c r="F14" s="703">
        <v>97.695742234697505</v>
      </c>
      <c r="G14" s="704">
        <v>98.480204119948894</v>
      </c>
      <c r="H14" s="516">
        <v>96.673806760521956</v>
      </c>
      <c r="I14" s="517">
        <v>98.054470070958331</v>
      </c>
      <c r="J14" s="704">
        <v>95.293143450085552</v>
      </c>
      <c r="K14" s="628">
        <v>100.01867056539903</v>
      </c>
      <c r="L14" s="559"/>
      <c r="M14" s="755"/>
      <c r="N14" s="754"/>
      <c r="O14" s="754"/>
      <c r="P14" s="247"/>
      <c r="Q14" s="247"/>
      <c r="R14" s="247"/>
      <c r="S14" s="247"/>
      <c r="T14" s="247"/>
      <c r="U14" s="247"/>
      <c r="V14" s="247"/>
      <c r="W14" s="247"/>
      <c r="X14" s="247"/>
    </row>
    <row r="15" spans="1:24" s="27" customFormat="1" ht="16.5" customHeight="1" x14ac:dyDescent="0.2">
      <c r="A15" s="858" t="s">
        <v>352</v>
      </c>
      <c r="B15" s="515">
        <v>100</v>
      </c>
      <c r="C15" s="520">
        <v>101.76633492527901</v>
      </c>
      <c r="D15" s="704">
        <v>102.37869179956827</v>
      </c>
      <c r="E15" s="704">
        <v>101.15397805098975</v>
      </c>
      <c r="F15" s="703">
        <v>98.081220410299977</v>
      </c>
      <c r="G15" s="704">
        <v>100.82048545681712</v>
      </c>
      <c r="H15" s="520">
        <v>99.773011155635956</v>
      </c>
      <c r="I15" s="517">
        <v>100.07316665561316</v>
      </c>
      <c r="J15" s="704">
        <v>99.472855655658748</v>
      </c>
      <c r="K15" s="703">
        <v>100.90509559278995</v>
      </c>
      <c r="L15" s="559"/>
      <c r="M15" s="755"/>
      <c r="N15" s="754"/>
      <c r="O15" s="754"/>
      <c r="P15" s="247"/>
      <c r="Q15" s="247"/>
      <c r="R15" s="247"/>
      <c r="S15" s="247"/>
      <c r="T15" s="247"/>
      <c r="U15" s="247"/>
      <c r="V15" s="247"/>
      <c r="W15" s="247"/>
      <c r="X15" s="247"/>
    </row>
    <row r="16" spans="1:24" s="27" customFormat="1" ht="16.5" customHeight="1" x14ac:dyDescent="0.2">
      <c r="A16" s="533" t="s">
        <v>18</v>
      </c>
      <c r="B16" s="534"/>
      <c r="C16" s="535"/>
      <c r="D16" s="536"/>
      <c r="E16" s="536"/>
      <c r="F16" s="536"/>
      <c r="G16" s="536"/>
      <c r="H16" s="535"/>
      <c r="I16" s="536"/>
      <c r="J16" s="536"/>
      <c r="K16" s="536"/>
      <c r="L16" s="559"/>
      <c r="M16" s="755"/>
      <c r="N16" s="754"/>
      <c r="O16" s="754"/>
      <c r="P16" s="247"/>
      <c r="Q16" s="247"/>
      <c r="R16" s="247"/>
      <c r="S16" s="247"/>
      <c r="T16" s="247"/>
      <c r="U16" s="247"/>
      <c r="V16" s="247"/>
      <c r="W16" s="247"/>
      <c r="X16" s="247"/>
    </row>
    <row r="17" spans="1:32" s="211" customFormat="1" ht="16.5" customHeight="1" x14ac:dyDescent="0.2">
      <c r="A17" s="348" t="s">
        <v>129</v>
      </c>
      <c r="B17" s="515">
        <v>64.704692993321601</v>
      </c>
      <c r="C17" s="516">
        <v>68.8381476236097</v>
      </c>
      <c r="D17" s="704">
        <v>69.754057275627474</v>
      </c>
      <c r="E17" s="704">
        <v>67.922237971591926</v>
      </c>
      <c r="F17" s="703">
        <v>68.471609804424247</v>
      </c>
      <c r="G17" s="704">
        <v>66.604754637485428</v>
      </c>
      <c r="H17" s="516">
        <v>67.272391512598944</v>
      </c>
      <c r="I17" s="517">
        <v>68.011812951859099</v>
      </c>
      <c r="J17" s="704">
        <v>66.532970073338774</v>
      </c>
      <c r="K17" s="628">
        <v>63.178301337504351</v>
      </c>
      <c r="L17" s="559"/>
      <c r="M17" s="755"/>
      <c r="N17" s="754"/>
      <c r="O17" s="754"/>
      <c r="P17" s="247"/>
      <c r="Q17" s="247"/>
      <c r="R17" s="247"/>
      <c r="S17" s="247"/>
      <c r="T17" s="247"/>
      <c r="U17" s="247"/>
      <c r="V17" s="247"/>
      <c r="W17" s="247"/>
      <c r="X17" s="247"/>
      <c r="Y17" s="27"/>
      <c r="Z17" s="27"/>
      <c r="AA17" s="27"/>
      <c r="AB17" s="27"/>
      <c r="AC17" s="27"/>
      <c r="AD17" s="27"/>
      <c r="AE17" s="27"/>
    </row>
    <row r="18" spans="1:32" s="210" customFormat="1" ht="16.5" customHeight="1" x14ac:dyDescent="0.2">
      <c r="A18" s="348" t="s">
        <v>27</v>
      </c>
      <c r="B18" s="512">
        <v>60.745223487986109</v>
      </c>
      <c r="C18" s="513">
        <v>64.971844662141763</v>
      </c>
      <c r="D18" s="708">
        <v>65.317868209862368</v>
      </c>
      <c r="E18" s="708">
        <v>64.625821114421157</v>
      </c>
      <c r="F18" s="709">
        <v>66.432752638168793</v>
      </c>
      <c r="G18" s="708">
        <v>64.476626576677305</v>
      </c>
      <c r="H18" s="513">
        <v>61.593402353376746</v>
      </c>
      <c r="I18" s="514">
        <v>62.967263438060783</v>
      </c>
      <c r="J18" s="701">
        <v>60.219541268692701</v>
      </c>
      <c r="K18" s="625">
        <v>61.976097346363801</v>
      </c>
      <c r="L18" s="559"/>
      <c r="M18" s="755"/>
      <c r="N18" s="754"/>
      <c r="O18" s="754"/>
      <c r="P18" s="247"/>
      <c r="Q18" s="247"/>
      <c r="R18" s="247"/>
      <c r="S18" s="247"/>
      <c r="T18" s="247"/>
      <c r="U18" s="247"/>
      <c r="V18" s="247"/>
      <c r="W18" s="247"/>
      <c r="X18" s="247"/>
      <c r="Y18" s="27"/>
      <c r="Z18" s="27"/>
      <c r="AA18" s="27"/>
      <c r="AB18" s="27"/>
      <c r="AC18" s="27"/>
      <c r="AD18" s="27"/>
      <c r="AE18" s="27"/>
    </row>
    <row r="19" spans="1:32" s="27" customFormat="1" ht="16.5" customHeight="1" x14ac:dyDescent="0.2">
      <c r="A19" s="475" t="s">
        <v>130</v>
      </c>
      <c r="B19" s="1015">
        <v>6.2097437959579302</v>
      </c>
      <c r="C19" s="1016">
        <v>6.811988916446972</v>
      </c>
      <c r="D19" s="1019">
        <v>6.9077997875639028</v>
      </c>
      <c r="E19" s="1019">
        <v>6.7161780453300413</v>
      </c>
      <c r="F19" s="1017">
        <v>6.9086087395101199</v>
      </c>
      <c r="G19" s="1019">
        <v>6.6107972402375914</v>
      </c>
      <c r="H19" s="1016">
        <v>6.4851364002471659</v>
      </c>
      <c r="I19" s="1018">
        <v>6.6138023781176418</v>
      </c>
      <c r="J19" s="1019">
        <v>6.3564704223766899</v>
      </c>
      <c r="K19" s="1177">
        <v>6.1849435454359263</v>
      </c>
      <c r="L19" s="559"/>
      <c r="M19" s="755"/>
      <c r="N19" s="754"/>
      <c r="O19" s="754"/>
      <c r="P19" s="247"/>
      <c r="Q19" s="247"/>
      <c r="R19" s="247"/>
      <c r="S19" s="247"/>
      <c r="T19" s="247"/>
      <c r="U19" s="247"/>
      <c r="V19" s="247"/>
      <c r="W19" s="247"/>
      <c r="X19" s="247"/>
    </row>
    <row r="20" spans="1:32" s="211" customFormat="1" ht="16.5" customHeight="1" x14ac:dyDescent="0.2">
      <c r="A20" s="505" t="s">
        <v>15</v>
      </c>
      <c r="B20" s="506"/>
      <c r="C20" s="507"/>
      <c r="D20" s="700"/>
      <c r="E20" s="508"/>
      <c r="F20" s="509"/>
      <c r="G20" s="508"/>
      <c r="H20" s="507"/>
      <c r="I20" s="509"/>
      <c r="J20" s="508"/>
      <c r="K20" s="509"/>
      <c r="L20" s="559"/>
      <c r="M20" s="755"/>
      <c r="N20" s="756"/>
      <c r="O20" s="756"/>
      <c r="P20" s="247"/>
      <c r="Q20" s="247"/>
      <c r="R20" s="247"/>
      <c r="S20" s="247"/>
      <c r="T20" s="247"/>
      <c r="U20" s="247"/>
      <c r="V20" s="247"/>
      <c r="W20" s="247"/>
      <c r="X20" s="247"/>
      <c r="Y20" s="27"/>
      <c r="Z20" s="27"/>
      <c r="AA20" s="27"/>
      <c r="AB20" s="27"/>
      <c r="AC20" s="27"/>
      <c r="AD20" s="27"/>
      <c r="AE20" s="27"/>
    </row>
    <row r="21" spans="1:32" s="27" customFormat="1" ht="16.5" customHeight="1" x14ac:dyDescent="0.2">
      <c r="A21" s="802" t="s">
        <v>359</v>
      </c>
      <c r="B21" s="494">
        <v>100</v>
      </c>
      <c r="C21" s="495">
        <v>135.10651567366432</v>
      </c>
      <c r="D21" s="496">
        <v>137.27570115898996</v>
      </c>
      <c r="E21" s="496">
        <v>132.93733018833871</v>
      </c>
      <c r="F21" s="699">
        <v>113.36568110763734</v>
      </c>
      <c r="G21" s="496">
        <v>123.17256092598815</v>
      </c>
      <c r="H21" s="495">
        <v>121.57967520108036</v>
      </c>
      <c r="I21" s="497">
        <v>125.16276431819909</v>
      </c>
      <c r="J21" s="496">
        <v>117.99658608396163</v>
      </c>
      <c r="K21" s="720">
        <v>102.67794219367214</v>
      </c>
      <c r="L21" s="559"/>
      <c r="M21" s="755"/>
      <c r="N21" s="754"/>
      <c r="O21" s="754"/>
      <c r="P21" s="247"/>
      <c r="Q21" s="247"/>
      <c r="R21" s="247"/>
      <c r="S21" s="247"/>
      <c r="T21" s="247"/>
      <c r="U21" s="247"/>
      <c r="V21" s="247"/>
      <c r="W21" s="247"/>
      <c r="X21" s="247"/>
    </row>
    <row r="22" spans="1:32" s="211" customFormat="1" ht="16.5" customHeight="1" x14ac:dyDescent="0.2">
      <c r="A22" s="803" t="s">
        <v>360</v>
      </c>
      <c r="B22" s="512">
        <v>100</v>
      </c>
      <c r="C22" s="513">
        <v>116.48175602272627</v>
      </c>
      <c r="D22" s="701">
        <v>115.98344524158956</v>
      </c>
      <c r="E22" s="701">
        <v>116.98006680386297</v>
      </c>
      <c r="F22" s="703">
        <v>108.53762055437596</v>
      </c>
      <c r="G22" s="701">
        <v>109.08588321585552</v>
      </c>
      <c r="H22" s="513">
        <v>113.04393253605673</v>
      </c>
      <c r="I22" s="514">
        <v>113.68616294488025</v>
      </c>
      <c r="J22" s="704">
        <v>112.40170212723319</v>
      </c>
      <c r="K22" s="628">
        <v>102.94545151957932</v>
      </c>
      <c r="L22" s="559"/>
      <c r="M22" s="755"/>
      <c r="N22" s="756"/>
      <c r="O22" s="756"/>
      <c r="P22" s="247"/>
      <c r="Q22" s="247"/>
      <c r="R22" s="247"/>
      <c r="S22" s="247"/>
      <c r="T22" s="247"/>
      <c r="U22" s="247"/>
      <c r="V22" s="247"/>
      <c r="W22" s="247"/>
      <c r="X22" s="247"/>
      <c r="Y22" s="27"/>
      <c r="Z22" s="27"/>
      <c r="AA22" s="27"/>
      <c r="AB22" s="27"/>
      <c r="AC22" s="27"/>
      <c r="AD22" s="27"/>
      <c r="AE22" s="27"/>
    </row>
    <row r="23" spans="1:32" s="211" customFormat="1" ht="16.5" customHeight="1" x14ac:dyDescent="0.2">
      <c r="A23" s="803" t="s">
        <v>361</v>
      </c>
      <c r="B23" s="512">
        <v>100</v>
      </c>
      <c r="C23" s="513">
        <v>89.83685207400967</v>
      </c>
      <c r="D23" s="701">
        <v>89.545386569455914</v>
      </c>
      <c r="E23" s="701">
        <v>90.128317578563454</v>
      </c>
      <c r="F23" s="703">
        <v>89.29178042541767</v>
      </c>
      <c r="G23" s="701">
        <v>91.452506912615178</v>
      </c>
      <c r="H23" s="513">
        <v>94.383291453928706</v>
      </c>
      <c r="I23" s="514">
        <v>91.787647001898719</v>
      </c>
      <c r="J23" s="704">
        <v>96.978935905958707</v>
      </c>
      <c r="K23" s="628">
        <v>92.338341177633524</v>
      </c>
      <c r="L23" s="559"/>
      <c r="M23" s="755"/>
      <c r="N23" s="754"/>
      <c r="O23" s="754"/>
      <c r="P23" s="247"/>
      <c r="Q23" s="247"/>
      <c r="R23" s="247"/>
      <c r="S23" s="247"/>
      <c r="T23" s="247"/>
      <c r="U23" s="247"/>
      <c r="V23" s="247"/>
      <c r="W23" s="247"/>
      <c r="X23" s="247"/>
      <c r="Y23" s="27"/>
      <c r="Z23" s="27"/>
      <c r="AA23" s="27"/>
      <c r="AB23" s="27"/>
      <c r="AC23" s="27"/>
      <c r="AD23" s="27"/>
      <c r="AE23" s="27"/>
    </row>
    <row r="24" spans="1:32" s="211" customFormat="1" ht="16.5" customHeight="1" x14ac:dyDescent="0.2">
      <c r="A24" s="803" t="s">
        <v>362</v>
      </c>
      <c r="B24" s="512">
        <v>100</v>
      </c>
      <c r="C24" s="513">
        <v>94.900501910252316</v>
      </c>
      <c r="D24" s="701">
        <v>91.528601273586759</v>
      </c>
      <c r="E24" s="701">
        <v>98.27240254691786</v>
      </c>
      <c r="F24" s="703">
        <v>94.519505610452441</v>
      </c>
      <c r="G24" s="701">
        <v>93.2678628586158</v>
      </c>
      <c r="H24" s="513">
        <v>92.564967375063333</v>
      </c>
      <c r="I24" s="514">
        <v>90.029679732015438</v>
      </c>
      <c r="J24" s="704">
        <v>95.100255018111227</v>
      </c>
      <c r="K24" s="628">
        <v>98.622907034886893</v>
      </c>
      <c r="L24" s="559"/>
      <c r="M24" s="755"/>
      <c r="N24" s="754"/>
      <c r="O24" s="754"/>
      <c r="P24" s="247"/>
      <c r="Q24" s="247"/>
      <c r="R24" s="247"/>
      <c r="S24" s="247"/>
      <c r="T24" s="247"/>
      <c r="U24" s="247"/>
      <c r="V24" s="247"/>
      <c r="W24" s="247"/>
      <c r="X24" s="247"/>
      <c r="Y24" s="27"/>
      <c r="Z24" s="27"/>
      <c r="AA24" s="27"/>
      <c r="AB24" s="27"/>
      <c r="AC24" s="27"/>
      <c r="AD24" s="27"/>
      <c r="AE24" s="27"/>
    </row>
    <row r="25" spans="1:32" s="211" customFormat="1" ht="16.5" customHeight="1" x14ac:dyDescent="0.2">
      <c r="A25" s="803" t="s">
        <v>363</v>
      </c>
      <c r="B25" s="515">
        <v>100</v>
      </c>
      <c r="C25" s="516">
        <v>102.85452919065281</v>
      </c>
      <c r="D25" s="704">
        <v>100.64178240816157</v>
      </c>
      <c r="E25" s="704">
        <v>105.06727597314406</v>
      </c>
      <c r="F25" s="703">
        <v>102.27001043585632</v>
      </c>
      <c r="G25" s="704">
        <v>105.93481990445748</v>
      </c>
      <c r="H25" s="516">
        <v>96.692840807105782</v>
      </c>
      <c r="I25" s="517">
        <v>94.049757316179495</v>
      </c>
      <c r="J25" s="704">
        <v>99.335924298032069</v>
      </c>
      <c r="K25" s="628">
        <v>92.745419215855435</v>
      </c>
      <c r="L25" s="559"/>
      <c r="M25" s="755"/>
      <c r="N25" s="754"/>
      <c r="O25" s="754"/>
      <c r="P25" s="247"/>
      <c r="Q25" s="247"/>
      <c r="R25" s="247"/>
      <c r="S25" s="247"/>
      <c r="T25" s="247"/>
      <c r="U25" s="247"/>
      <c r="V25" s="247"/>
      <c r="W25" s="247"/>
      <c r="X25" s="247"/>
      <c r="Y25" s="27"/>
      <c r="Z25" s="27"/>
      <c r="AA25" s="27"/>
      <c r="AB25" s="27"/>
      <c r="AC25" s="27"/>
      <c r="AD25" s="27"/>
      <c r="AE25" s="27"/>
    </row>
    <row r="26" spans="1:32" s="206" customFormat="1" ht="16.5" customHeight="1" x14ac:dyDescent="0.2">
      <c r="A26" s="521" t="s">
        <v>30</v>
      </c>
      <c r="B26" s="522"/>
      <c r="C26" s="523"/>
      <c r="D26" s="104"/>
      <c r="E26" s="508"/>
      <c r="F26" s="508"/>
      <c r="G26" s="508"/>
      <c r="H26" s="523"/>
      <c r="I26" s="508"/>
      <c r="J26" s="508"/>
      <c r="K26" s="508"/>
      <c r="L26" s="559"/>
      <c r="M26" s="755"/>
      <c r="N26" s="764"/>
      <c r="O26" s="764"/>
      <c r="P26" s="765"/>
      <c r="Q26" s="765"/>
      <c r="R26" s="765"/>
      <c r="S26" s="247"/>
      <c r="T26" s="247"/>
      <c r="U26" s="247"/>
      <c r="V26" s="247"/>
      <c r="W26" s="247"/>
      <c r="X26" s="247"/>
      <c r="Y26" s="27"/>
      <c r="Z26" s="27"/>
      <c r="AA26" s="27"/>
      <c r="AB26" s="27"/>
      <c r="AC26" s="27"/>
      <c r="AD26" s="27"/>
      <c r="AE26" s="27"/>
    </row>
    <row r="27" spans="1:32" s="211" customFormat="1" ht="16.5" customHeight="1" x14ac:dyDescent="0.2">
      <c r="A27" s="857" t="s">
        <v>338</v>
      </c>
      <c r="B27" s="494">
        <v>100</v>
      </c>
      <c r="C27" s="524">
        <v>95.264782265047032</v>
      </c>
      <c r="D27" s="705">
        <v>95.367944931023146</v>
      </c>
      <c r="E27" s="705">
        <v>95.161619599070917</v>
      </c>
      <c r="F27" s="1033">
        <v>84.155728000211468</v>
      </c>
      <c r="G27" s="705">
        <v>90.152706881902816</v>
      </c>
      <c r="H27" s="524">
        <v>87.789041871494604</v>
      </c>
      <c r="I27" s="604">
        <v>90.297930336122889</v>
      </c>
      <c r="J27" s="766">
        <v>85.280153406866305</v>
      </c>
      <c r="K27" s="1178">
        <v>86.505579603513453</v>
      </c>
      <c r="L27" s="559"/>
      <c r="M27" s="758"/>
      <c r="N27" s="764"/>
      <c r="O27" s="754"/>
      <c r="P27" s="247"/>
      <c r="Q27" s="247"/>
      <c r="R27" s="247"/>
      <c r="S27" s="247"/>
      <c r="T27" s="247"/>
      <c r="U27" s="247"/>
      <c r="V27" s="247"/>
      <c r="W27" s="247"/>
      <c r="X27" s="247"/>
      <c r="Y27" s="27"/>
      <c r="Z27" s="27"/>
      <c r="AA27" s="27"/>
      <c r="AB27" s="27"/>
      <c r="AC27" s="27"/>
      <c r="AD27" s="27"/>
      <c r="AE27" s="27"/>
    </row>
    <row r="28" spans="1:32" s="211" customFormat="1" ht="16.5" customHeight="1" x14ac:dyDescent="0.2">
      <c r="A28" s="885" t="s">
        <v>369</v>
      </c>
      <c r="B28" s="525">
        <f>65+6.88703153392881</f>
        <v>71.887031533928806</v>
      </c>
      <c r="C28" s="499">
        <f>65+5.29320300012424</f>
        <v>70.293203000124237</v>
      </c>
      <c r="D28" s="500">
        <f>65+5.33241749693674</f>
        <v>70.332417496936742</v>
      </c>
      <c r="E28" s="500">
        <f>65+5.25398850331175</f>
        <v>70.253988503311746</v>
      </c>
      <c r="F28" s="1034">
        <f>65+7.47422802617423</f>
        <v>72.474228026174231</v>
      </c>
      <c r="G28" s="500">
        <f>65+7.97890991172338</f>
        <v>72.978909911723377</v>
      </c>
      <c r="H28" s="499">
        <f>65+8.47568673091627</f>
        <v>73.475686730916266</v>
      </c>
      <c r="I28" s="502">
        <f>65+7.5789125857651</f>
        <v>72.578912585765096</v>
      </c>
      <c r="J28" s="718">
        <f>65+9.37246087606745</f>
        <v>74.37246087606745</v>
      </c>
      <c r="K28" s="1029">
        <f>65+10.9545876004496</f>
        <v>75.954587600449599</v>
      </c>
      <c r="L28" s="559"/>
      <c r="M28" s="755"/>
      <c r="N28" s="764"/>
      <c r="O28" s="754"/>
      <c r="P28" s="247"/>
      <c r="Q28" s="247"/>
      <c r="R28" s="247"/>
      <c r="S28" s="247"/>
      <c r="T28" s="247"/>
      <c r="U28" s="247"/>
      <c r="V28" s="247"/>
      <c r="W28" s="247"/>
      <c r="X28" s="247"/>
      <c r="Y28" s="27"/>
      <c r="Z28" s="27"/>
      <c r="AA28" s="27"/>
      <c r="AB28" s="27"/>
      <c r="AC28" s="27"/>
      <c r="AD28" s="27"/>
      <c r="AE28" s="27"/>
    </row>
    <row r="29" spans="1:32" s="211" customFormat="1" ht="16.5" customHeight="1" x14ac:dyDescent="0.2">
      <c r="A29" s="803" t="s">
        <v>339</v>
      </c>
      <c r="B29" s="512">
        <v>100</v>
      </c>
      <c r="C29" s="513">
        <v>104.91080791950007</v>
      </c>
      <c r="D29" s="701">
        <v>107.80716582828313</v>
      </c>
      <c r="E29" s="701">
        <v>102.01445001071701</v>
      </c>
      <c r="F29" s="703">
        <v>107.43280028493353</v>
      </c>
      <c r="G29" s="701">
        <v>105.80720070241527</v>
      </c>
      <c r="H29" s="513">
        <v>110.52312246640967</v>
      </c>
      <c r="I29" s="514">
        <v>109.45088451405849</v>
      </c>
      <c r="J29" s="704">
        <v>111.59536041876082</v>
      </c>
      <c r="K29" s="628">
        <v>109.78951553895128</v>
      </c>
      <c r="L29" s="559"/>
      <c r="M29" s="755"/>
      <c r="N29" s="764"/>
      <c r="O29" s="754"/>
      <c r="P29" s="247"/>
      <c r="Q29" s="247"/>
      <c r="R29" s="247"/>
      <c r="S29" s="247"/>
      <c r="T29" s="247"/>
      <c r="U29" s="247"/>
      <c r="V29" s="247"/>
      <c r="W29" s="247"/>
      <c r="X29" s="247"/>
      <c r="Y29" s="27"/>
      <c r="Z29" s="27"/>
      <c r="AA29" s="27"/>
      <c r="AB29" s="27"/>
      <c r="AC29" s="27"/>
      <c r="AD29" s="27"/>
      <c r="AE29" s="27"/>
    </row>
    <row r="30" spans="1:32" s="528" customFormat="1" ht="16.5" customHeight="1" x14ac:dyDescent="0.2">
      <c r="A30" s="885" t="s">
        <v>371</v>
      </c>
      <c r="B30" s="525">
        <f>65+8.19616136642111</f>
        <v>73.196161366421109</v>
      </c>
      <c r="C30" s="499">
        <f>65+5.88685991208533</f>
        <v>70.886859912085328</v>
      </c>
      <c r="D30" s="500">
        <f>65+6.06051685085271</f>
        <v>71.060516850852707</v>
      </c>
      <c r="E30" s="500">
        <f>65+5.71320297331795</f>
        <v>70.713202973317948</v>
      </c>
      <c r="F30" s="501">
        <f>65+6.05933196700475</f>
        <v>71.059331967004752</v>
      </c>
      <c r="G30" s="500">
        <f>65+6.78506339396662</f>
        <v>71.785063393966624</v>
      </c>
      <c r="H30" s="499">
        <f>65+6.33676282778721</f>
        <v>71.336762827787211</v>
      </c>
      <c r="I30" s="502">
        <f>65+6.94294143360298</f>
        <v>71.942941433602982</v>
      </c>
      <c r="J30" s="500">
        <f>65+5.73058422197144</f>
        <v>70.730584221971441</v>
      </c>
      <c r="K30" s="721">
        <f>65+7.9981078120031</f>
        <v>72.998107812003099</v>
      </c>
      <c r="L30" s="1172"/>
      <c r="M30" s="755"/>
      <c r="N30" s="764"/>
      <c r="O30" s="759"/>
      <c r="P30" s="527"/>
      <c r="Q30" s="527"/>
      <c r="R30" s="527"/>
      <c r="S30" s="527"/>
      <c r="T30" s="527"/>
      <c r="U30" s="527"/>
      <c r="V30" s="527"/>
      <c r="W30" s="527"/>
      <c r="X30" s="527"/>
      <c r="Y30" s="526"/>
      <c r="Z30" s="526"/>
      <c r="AA30" s="526"/>
      <c r="AB30" s="526"/>
      <c r="AC30" s="526"/>
      <c r="AD30" s="526"/>
      <c r="AE30" s="526"/>
      <c r="AF30" s="526"/>
    </row>
    <row r="31" spans="1:32" s="211" customFormat="1" ht="16.5" customHeight="1" x14ac:dyDescent="0.2">
      <c r="A31" s="803" t="s">
        <v>340</v>
      </c>
      <c r="B31" s="512">
        <v>100</v>
      </c>
      <c r="C31" s="513">
        <v>101.95444168156752</v>
      </c>
      <c r="D31" s="701">
        <v>100.9684411061447</v>
      </c>
      <c r="E31" s="701">
        <v>102.94044225699032</v>
      </c>
      <c r="F31" s="703">
        <v>99.550123793656354</v>
      </c>
      <c r="G31" s="701">
        <v>103.20916085721478</v>
      </c>
      <c r="H31" s="513">
        <v>103.47380625283465</v>
      </c>
      <c r="I31" s="514">
        <v>101.44743118421115</v>
      </c>
      <c r="J31" s="704">
        <v>105.50018132145813</v>
      </c>
      <c r="K31" s="628">
        <v>99.309043027086631</v>
      </c>
      <c r="L31" s="559"/>
      <c r="M31" s="755"/>
      <c r="N31" s="754"/>
      <c r="O31" s="754"/>
      <c r="P31" s="247"/>
      <c r="Q31" s="247"/>
      <c r="R31" s="247"/>
      <c r="S31" s="247"/>
      <c r="T31" s="247"/>
      <c r="U31" s="247"/>
      <c r="V31" s="247"/>
      <c r="W31" s="247"/>
      <c r="X31" s="247"/>
      <c r="Y31" s="27"/>
      <c r="Z31" s="27"/>
      <c r="AA31" s="27"/>
      <c r="AB31" s="27"/>
      <c r="AC31" s="27"/>
      <c r="AD31" s="27"/>
      <c r="AE31" s="27"/>
    </row>
    <row r="32" spans="1:32" s="211" customFormat="1" ht="16.5" customHeight="1" x14ac:dyDescent="0.2">
      <c r="A32" s="806" t="s">
        <v>354</v>
      </c>
      <c r="B32" s="530">
        <v>100</v>
      </c>
      <c r="C32" s="513">
        <v>117.02704340400894</v>
      </c>
      <c r="D32" s="706">
        <v>115.49692438544398</v>
      </c>
      <c r="E32" s="706">
        <v>118.5571624225739</v>
      </c>
      <c r="F32" s="703">
        <v>112.7197522377711</v>
      </c>
      <c r="G32" s="706">
        <v>120.95564753431665</v>
      </c>
      <c r="H32" s="513">
        <v>116.22255622875549</v>
      </c>
      <c r="I32" s="531">
        <v>112.88424503262715</v>
      </c>
      <c r="J32" s="704">
        <v>119.56086742488385</v>
      </c>
      <c r="K32" s="628">
        <v>107.36503087858217</v>
      </c>
      <c r="L32" s="559"/>
      <c r="M32" s="755"/>
      <c r="N32" s="754"/>
      <c r="O32" s="755"/>
      <c r="P32" s="247"/>
      <c r="Q32" s="247"/>
      <c r="R32" s="247"/>
      <c r="S32" s="247"/>
      <c r="T32" s="247"/>
      <c r="U32" s="247"/>
      <c r="V32" s="247"/>
      <c r="W32" s="247"/>
      <c r="X32" s="247"/>
      <c r="Y32" s="27"/>
      <c r="Z32" s="27"/>
      <c r="AA32" s="27"/>
      <c r="AB32" s="27"/>
      <c r="AC32" s="27"/>
      <c r="AD32" s="27"/>
      <c r="AE32" s="27"/>
    </row>
    <row r="33" spans="1:31" s="27" customFormat="1" ht="16.5" customHeight="1" x14ac:dyDescent="0.2">
      <c r="A33" s="533" t="s">
        <v>18</v>
      </c>
      <c r="B33" s="534"/>
      <c r="C33" s="535"/>
      <c r="D33" s="536"/>
      <c r="E33" s="536"/>
      <c r="F33" s="536"/>
      <c r="G33" s="536"/>
      <c r="H33" s="535"/>
      <c r="I33" s="536"/>
      <c r="J33" s="536"/>
      <c r="K33" s="536"/>
      <c r="L33" s="559"/>
      <c r="M33" s="755"/>
      <c r="N33" s="754"/>
      <c r="O33" s="754"/>
      <c r="P33" s="247"/>
      <c r="Q33" s="247"/>
      <c r="R33" s="247"/>
      <c r="S33" s="247"/>
      <c r="T33" s="247"/>
      <c r="U33" s="247"/>
      <c r="V33" s="247"/>
      <c r="W33" s="247"/>
      <c r="X33" s="247"/>
    </row>
    <row r="34" spans="1:31" s="27" customFormat="1" ht="16.5" customHeight="1" x14ac:dyDescent="0.2">
      <c r="A34" s="539" t="s">
        <v>7</v>
      </c>
      <c r="B34" s="540">
        <v>7.0198940960471443</v>
      </c>
      <c r="C34" s="532">
        <v>7.1076291545571344</v>
      </c>
      <c r="D34" s="541">
        <v>7.1233964651821804</v>
      </c>
      <c r="E34" s="541">
        <v>7.0918618439320884</v>
      </c>
      <c r="F34" s="542">
        <v>7.0136743650199636</v>
      </c>
      <c r="G34" s="541">
        <v>7.0804714657466734</v>
      </c>
      <c r="H34" s="532">
        <v>7.1829311149848127</v>
      </c>
      <c r="I34" s="595">
        <v>7.2511464963770127</v>
      </c>
      <c r="J34" s="541">
        <v>7.1147157335926137</v>
      </c>
      <c r="K34" s="871" t="s">
        <v>357</v>
      </c>
      <c r="L34" s="559"/>
      <c r="M34" s="755"/>
      <c r="N34" s="754"/>
      <c r="O34" s="754"/>
      <c r="P34" s="247"/>
      <c r="Q34" s="247"/>
      <c r="R34" s="247"/>
      <c r="S34" s="247"/>
      <c r="T34" s="247"/>
      <c r="U34" s="247"/>
      <c r="V34" s="247"/>
      <c r="W34" s="247"/>
      <c r="X34" s="247"/>
    </row>
    <row r="35" spans="1:31" s="27" customFormat="1" ht="16.5" customHeight="1" x14ac:dyDescent="0.2">
      <c r="A35" s="533" t="s">
        <v>19</v>
      </c>
      <c r="B35" s="534"/>
      <c r="C35" s="535"/>
      <c r="D35" s="536"/>
      <c r="E35" s="536"/>
      <c r="F35" s="536"/>
      <c r="G35" s="536"/>
      <c r="H35" s="535"/>
      <c r="I35" s="536"/>
      <c r="J35" s="536"/>
      <c r="K35" s="729"/>
      <c r="L35" s="559"/>
      <c r="M35" s="755"/>
      <c r="N35" s="754"/>
      <c r="O35" s="754"/>
      <c r="P35" s="247"/>
      <c r="Q35" s="247"/>
      <c r="R35" s="247"/>
      <c r="S35" s="247"/>
      <c r="T35" s="247"/>
      <c r="U35" s="247"/>
      <c r="V35" s="247"/>
      <c r="W35" s="247"/>
      <c r="X35" s="247"/>
    </row>
    <row r="36" spans="1:31" s="27" customFormat="1" ht="16.5" customHeight="1" x14ac:dyDescent="0.2">
      <c r="A36" s="543" t="s">
        <v>8</v>
      </c>
      <c r="B36" s="380">
        <v>6.1385366578673457</v>
      </c>
      <c r="C36" s="380">
        <v>6.9535140562248996</v>
      </c>
      <c r="D36" s="711">
        <v>7.2726907630522089</v>
      </c>
      <c r="E36" s="545">
        <v>6.6343373493975903</v>
      </c>
      <c r="F36" s="712">
        <v>8.887349397590361</v>
      </c>
      <c r="G36" s="545">
        <v>6.9347389558232937</v>
      </c>
      <c r="H36" s="380">
        <v>3.6098393574297192</v>
      </c>
      <c r="I36" s="546">
        <v>5.0196787148594382</v>
      </c>
      <c r="J36" s="545">
        <v>2.2000000000000002</v>
      </c>
      <c r="K36" s="1169">
        <v>7.4145695364238406</v>
      </c>
      <c r="L36" s="559"/>
      <c r="M36" s="755"/>
      <c r="N36" s="754"/>
      <c r="O36" s="754"/>
      <c r="P36" s="247"/>
      <c r="Q36" s="247"/>
      <c r="R36" s="247"/>
      <c r="S36" s="247"/>
      <c r="T36" s="247"/>
      <c r="U36" s="247"/>
      <c r="V36" s="247"/>
      <c r="W36" s="247"/>
      <c r="X36" s="247"/>
    </row>
    <row r="37" spans="1:31" s="27" customFormat="1" ht="16.5" customHeight="1" x14ac:dyDescent="0.2">
      <c r="A37" s="547" t="s">
        <v>9</v>
      </c>
      <c r="B37" s="380">
        <v>6.6204545454545434</v>
      </c>
      <c r="C37" s="380">
        <v>5.4249999999999998</v>
      </c>
      <c r="D37" s="713">
        <v>6.1</v>
      </c>
      <c r="E37" s="549">
        <v>4.75</v>
      </c>
      <c r="F37" s="550" t="s">
        <v>341</v>
      </c>
      <c r="G37" s="855" t="s">
        <v>6</v>
      </c>
      <c r="H37" s="380">
        <v>7.6</v>
      </c>
      <c r="I37" s="502">
        <v>6.85</v>
      </c>
      <c r="J37" s="549">
        <v>8.35</v>
      </c>
      <c r="K37" s="645">
        <v>8.75</v>
      </c>
      <c r="L37" s="559"/>
      <c r="M37" s="755"/>
      <c r="N37" s="754"/>
      <c r="O37" s="754"/>
      <c r="P37" s="247"/>
      <c r="Q37" s="247"/>
      <c r="R37" s="247"/>
      <c r="S37" s="247"/>
      <c r="T37" s="247"/>
      <c r="U37" s="247"/>
      <c r="V37" s="247"/>
      <c r="W37" s="247"/>
      <c r="X37" s="247"/>
    </row>
    <row r="38" spans="1:31" s="27" customFormat="1" ht="16.5" customHeight="1" x14ac:dyDescent="0.2">
      <c r="A38" s="539" t="s">
        <v>10</v>
      </c>
      <c r="B38" s="380">
        <v>7.0363636363636353</v>
      </c>
      <c r="C38" s="380">
        <v>7.3500000000000005</v>
      </c>
      <c r="D38" s="552">
        <v>5.9</v>
      </c>
      <c r="E38" s="541">
        <v>8.8000000000000007</v>
      </c>
      <c r="F38" s="591">
        <v>6.05</v>
      </c>
      <c r="G38" s="594">
        <v>6.15</v>
      </c>
      <c r="H38" s="380">
        <v>4.75</v>
      </c>
      <c r="I38" s="553">
        <v>4.3499999999999996</v>
      </c>
      <c r="J38" s="541">
        <v>5.15</v>
      </c>
      <c r="K38" s="553" t="s">
        <v>175</v>
      </c>
      <c r="L38" s="559"/>
      <c r="M38" s="755"/>
      <c r="N38" s="754"/>
      <c r="O38" s="754"/>
      <c r="P38" s="247"/>
      <c r="Q38" s="247"/>
      <c r="R38" s="247"/>
      <c r="S38" s="247"/>
      <c r="T38" s="247"/>
      <c r="U38" s="247"/>
      <c r="V38" s="247"/>
      <c r="W38" s="247"/>
      <c r="X38" s="247"/>
    </row>
    <row r="39" spans="1:31" ht="15.75" customHeight="1" x14ac:dyDescent="0.2">
      <c r="A39" s="86"/>
      <c r="B39" s="599"/>
      <c r="C39" s="599"/>
      <c r="D39" s="26"/>
      <c r="E39" s="105"/>
      <c r="F39" s="89"/>
      <c r="G39" s="105"/>
      <c r="H39" s="599"/>
      <c r="I39" s="55"/>
      <c r="J39" s="8"/>
      <c r="K39" s="89"/>
      <c r="L39" s="1060"/>
      <c r="M39" s="760"/>
    </row>
    <row r="40" spans="1:31" s="27" customFormat="1" ht="16.5" customHeight="1" x14ac:dyDescent="0.2">
      <c r="A40" s="312" t="s">
        <v>11</v>
      </c>
      <c r="B40" s="244" t="s">
        <v>6</v>
      </c>
      <c r="C40" s="245" t="s">
        <v>6</v>
      </c>
      <c r="D40" s="74">
        <v>2009</v>
      </c>
      <c r="E40" s="74">
        <v>2009</v>
      </c>
      <c r="F40" s="228">
        <v>2016</v>
      </c>
      <c r="G40" s="246">
        <v>2016</v>
      </c>
      <c r="H40" s="245" t="s">
        <v>6</v>
      </c>
      <c r="I40" s="74">
        <v>2000</v>
      </c>
      <c r="J40" s="246">
        <v>2013</v>
      </c>
      <c r="K40" s="108">
        <v>2019</v>
      </c>
      <c r="L40" s="559"/>
      <c r="M40" s="755"/>
      <c r="N40" s="754"/>
      <c r="O40" s="754"/>
      <c r="P40" s="247"/>
      <c r="Q40" s="247"/>
      <c r="R40" s="247"/>
      <c r="S40" s="247"/>
      <c r="T40" s="247"/>
      <c r="U40" s="247"/>
      <c r="V40" s="247"/>
      <c r="W40" s="247"/>
      <c r="X40" s="247"/>
    </row>
    <row r="41" spans="1:31" s="211" customFormat="1" ht="16.5" customHeight="1" x14ac:dyDescent="0.2">
      <c r="A41" s="561" t="s">
        <v>12</v>
      </c>
      <c r="B41" s="562"/>
      <c r="C41" s="563"/>
      <c r="D41" s="576"/>
      <c r="E41" s="577"/>
      <c r="F41" s="603"/>
      <c r="G41" s="577"/>
      <c r="H41" s="563"/>
      <c r="I41" s="564"/>
      <c r="J41" s="578"/>
      <c r="K41" s="578"/>
      <c r="L41" s="559"/>
      <c r="M41" s="754"/>
      <c r="N41" s="754"/>
      <c r="O41" s="754"/>
      <c r="P41" s="247"/>
      <c r="Q41" s="247"/>
      <c r="R41" s="247"/>
      <c r="S41" s="247"/>
      <c r="T41" s="247"/>
      <c r="U41" s="247"/>
      <c r="V41" s="247"/>
      <c r="W41" s="247"/>
      <c r="X41" s="247"/>
      <c r="Y41" s="27"/>
      <c r="Z41" s="27"/>
      <c r="AA41" s="27"/>
      <c r="AB41" s="27"/>
      <c r="AC41" s="27"/>
      <c r="AD41" s="27"/>
      <c r="AE41" s="27"/>
    </row>
    <row r="42" spans="1:31" s="211" customFormat="1" ht="16.5" customHeight="1" x14ac:dyDescent="0.2">
      <c r="A42" s="543" t="s">
        <v>33</v>
      </c>
      <c r="B42" s="567" t="s">
        <v>6</v>
      </c>
      <c r="C42" s="568" t="s">
        <v>6</v>
      </c>
      <c r="D42" s="570">
        <v>19</v>
      </c>
      <c r="E42" s="570">
        <v>11</v>
      </c>
      <c r="F42" s="580">
        <v>14</v>
      </c>
      <c r="G42" s="570">
        <v>11</v>
      </c>
      <c r="H42" s="568" t="s">
        <v>6</v>
      </c>
      <c r="I42" s="569">
        <v>21</v>
      </c>
      <c r="J42" s="571">
        <v>12</v>
      </c>
      <c r="K42" s="1170">
        <v>5</v>
      </c>
      <c r="L42" s="559"/>
      <c r="M42" s="754"/>
      <c r="N42" s="754"/>
      <c r="O42" s="754"/>
      <c r="P42" s="247"/>
      <c r="Q42" s="247"/>
      <c r="R42" s="247"/>
      <c r="S42" s="247"/>
      <c r="T42" s="247"/>
      <c r="U42" s="247"/>
      <c r="V42" s="247"/>
      <c r="W42" s="247"/>
      <c r="X42" s="247"/>
      <c r="Y42" s="27"/>
      <c r="Z42" s="27"/>
      <c r="AA42" s="27"/>
      <c r="AB42" s="27"/>
      <c r="AC42" s="27"/>
      <c r="AD42" s="27"/>
      <c r="AE42" s="27"/>
    </row>
    <row r="43" spans="1:31" s="211" customFormat="1" ht="16.5" customHeight="1" x14ac:dyDescent="0.2">
      <c r="A43" s="547" t="s">
        <v>34</v>
      </c>
      <c r="B43" s="572" t="s">
        <v>6</v>
      </c>
      <c r="C43" s="573" t="s">
        <v>6</v>
      </c>
      <c r="D43" s="575">
        <v>16</v>
      </c>
      <c r="E43" s="575">
        <v>11</v>
      </c>
      <c r="F43" s="581">
        <v>11</v>
      </c>
      <c r="G43" s="575">
        <v>8</v>
      </c>
      <c r="H43" s="573" t="s">
        <v>6</v>
      </c>
      <c r="I43" s="574">
        <v>18</v>
      </c>
      <c r="J43" s="575">
        <v>9</v>
      </c>
      <c r="K43" s="643">
        <v>6</v>
      </c>
      <c r="L43" s="559"/>
      <c r="M43" s="754"/>
      <c r="N43" s="754"/>
      <c r="O43" s="754"/>
      <c r="P43" s="247"/>
      <c r="Q43" s="247"/>
      <c r="R43" s="247"/>
      <c r="S43" s="247"/>
      <c r="T43" s="247"/>
      <c r="U43" s="247"/>
      <c r="V43" s="247"/>
      <c r="W43" s="247"/>
      <c r="X43" s="247"/>
      <c r="Y43" s="27"/>
      <c r="Z43" s="27"/>
      <c r="AA43" s="27"/>
      <c r="AB43" s="27"/>
      <c r="AC43" s="27"/>
      <c r="AD43" s="27"/>
      <c r="AE43" s="27"/>
    </row>
    <row r="44" spans="1:31" s="211" customFormat="1" ht="16.5" customHeight="1" thickBot="1" x14ac:dyDescent="0.25">
      <c r="A44" s="582" t="s">
        <v>35</v>
      </c>
      <c r="B44" s="583" t="s">
        <v>6</v>
      </c>
      <c r="C44" s="584" t="s">
        <v>6</v>
      </c>
      <c r="D44" s="585">
        <v>15</v>
      </c>
      <c r="E44" s="585">
        <v>11</v>
      </c>
      <c r="F44" s="586">
        <v>8</v>
      </c>
      <c r="G44" s="585">
        <v>8</v>
      </c>
      <c r="H44" s="584" t="s">
        <v>6</v>
      </c>
      <c r="I44" s="587">
        <v>17</v>
      </c>
      <c r="J44" s="585">
        <v>7</v>
      </c>
      <c r="K44" s="644">
        <v>6</v>
      </c>
      <c r="L44" s="559"/>
      <c r="M44" s="754"/>
      <c r="N44" s="754"/>
      <c r="O44" s="754"/>
      <c r="P44" s="247"/>
      <c r="Q44" s="247"/>
      <c r="R44" s="247"/>
      <c r="S44" s="247"/>
      <c r="T44" s="247"/>
      <c r="U44" s="247"/>
      <c r="V44" s="247"/>
      <c r="W44" s="247"/>
      <c r="X44" s="247"/>
      <c r="Y44" s="27"/>
      <c r="Z44" s="27"/>
      <c r="AA44" s="27"/>
      <c r="AB44" s="27"/>
      <c r="AC44" s="27"/>
      <c r="AD44" s="27"/>
      <c r="AE44" s="27"/>
    </row>
    <row r="45" spans="1:31" s="9" customFormat="1" x14ac:dyDescent="0.2">
      <c r="B45" s="111"/>
      <c r="C45" s="111"/>
      <c r="D45" s="111"/>
      <c r="E45" s="111"/>
      <c r="F45" s="111"/>
      <c r="G45" s="111"/>
      <c r="H45" s="111"/>
      <c r="I45" s="110"/>
      <c r="J45" s="110"/>
      <c r="K45" s="119"/>
      <c r="L45" s="6"/>
      <c r="M45" s="753"/>
      <c r="N45" s="753"/>
      <c r="O45" s="753"/>
      <c r="P45" s="52"/>
      <c r="Q45" s="52"/>
      <c r="R45" s="52"/>
      <c r="S45" s="52"/>
      <c r="T45" s="52"/>
      <c r="U45" s="52"/>
      <c r="V45" s="52"/>
      <c r="W45" s="52"/>
      <c r="X45" s="52"/>
      <c r="Y45" s="6"/>
      <c r="Z45" s="6"/>
      <c r="AA45" s="6"/>
      <c r="AB45" s="6"/>
      <c r="AC45" s="6"/>
      <c r="AD45" s="6"/>
      <c r="AE45" s="6"/>
    </row>
    <row r="46" spans="1:31" s="9" customFormat="1" x14ac:dyDescent="0.2">
      <c r="A46" s="9" t="s">
        <v>89</v>
      </c>
      <c r="B46" s="111"/>
      <c r="C46" s="111"/>
      <c r="D46" s="111"/>
      <c r="E46" s="111"/>
      <c r="F46" s="111"/>
      <c r="G46" s="111"/>
      <c r="H46" s="111"/>
      <c r="I46" s="110"/>
      <c r="J46" s="110"/>
      <c r="K46" s="119"/>
      <c r="L46" s="6"/>
      <c r="M46" s="753"/>
      <c r="N46" s="753"/>
      <c r="O46" s="753"/>
      <c r="P46" s="52"/>
      <c r="Q46" s="52"/>
      <c r="R46" s="52"/>
      <c r="S46" s="52"/>
      <c r="T46" s="52"/>
      <c r="U46" s="52"/>
      <c r="V46" s="52"/>
      <c r="W46" s="52"/>
      <c r="X46" s="52"/>
      <c r="Y46" s="6"/>
      <c r="Z46" s="6"/>
      <c r="AA46" s="6"/>
      <c r="AB46" s="6"/>
      <c r="AC46" s="6"/>
      <c r="AD46" s="6"/>
      <c r="AE46" s="6"/>
    </row>
    <row r="47" spans="1:31" x14ac:dyDescent="0.2">
      <c r="A47" s="1" t="s">
        <v>83</v>
      </c>
      <c r="B47" s="2"/>
      <c r="C47" s="2"/>
      <c r="D47" s="106"/>
      <c r="G47" s="106"/>
      <c r="H47" s="2"/>
    </row>
    <row r="48" spans="1:31" x14ac:dyDescent="0.2">
      <c r="A48" s="1" t="s">
        <v>87</v>
      </c>
      <c r="B48" s="2"/>
      <c r="C48" s="2"/>
      <c r="D48" s="106"/>
      <c r="G48" s="106"/>
      <c r="H48" s="2"/>
    </row>
    <row r="49" spans="1:8" x14ac:dyDescent="0.2">
      <c r="A49" s="1" t="s">
        <v>72</v>
      </c>
      <c r="B49" s="2"/>
      <c r="C49" s="2"/>
      <c r="E49" s="106"/>
      <c r="G49" s="106"/>
      <c r="H49" s="2"/>
    </row>
    <row r="50" spans="1:8" x14ac:dyDescent="0.2">
      <c r="A50" s="1" t="s">
        <v>73</v>
      </c>
      <c r="B50" s="2"/>
      <c r="C50" s="2"/>
      <c r="E50" s="106"/>
      <c r="G50" s="106"/>
      <c r="H50" s="2"/>
    </row>
    <row r="51" spans="1:8" x14ac:dyDescent="0.2">
      <c r="A51" s="6" t="s">
        <v>75</v>
      </c>
      <c r="B51" s="111"/>
      <c r="C51" s="111"/>
      <c r="H51" s="111"/>
    </row>
    <row r="52" spans="1:8" x14ac:dyDescent="0.2">
      <c r="A52" s="169" t="s">
        <v>143</v>
      </c>
    </row>
  </sheetData>
  <mergeCells count="2">
    <mergeCell ref="D3:G3"/>
    <mergeCell ref="I3:K3"/>
  </mergeCells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1276"/>
  <sheetViews>
    <sheetView zoomScale="112" zoomScaleNormal="112" workbookViewId="0">
      <selection activeCell="T13" sqref="T13"/>
    </sheetView>
  </sheetViews>
  <sheetFormatPr defaultColWidth="9.140625" defaultRowHeight="12.75" x14ac:dyDescent="0.2"/>
  <cols>
    <col min="1" max="1" width="21" style="11" customWidth="1"/>
    <col min="2" max="2" width="33.28515625" style="11" customWidth="1"/>
    <col min="3" max="3" width="8.7109375" style="179" customWidth="1"/>
    <col min="4" max="4" width="7.5703125" style="11" customWidth="1"/>
    <col min="5" max="5" width="7.5703125" style="12" customWidth="1"/>
    <col min="6" max="7" width="7.5703125" style="11" customWidth="1"/>
    <col min="8" max="8" width="7.5703125" style="12" customWidth="1"/>
    <col min="9" max="10" width="7.5703125" style="11" customWidth="1"/>
    <col min="11" max="11" width="7.5703125" style="12" customWidth="1"/>
    <col min="12" max="13" width="7.5703125" style="11" customWidth="1"/>
    <col min="14" max="14" width="7.5703125" style="12" customWidth="1"/>
    <col min="15" max="16" width="7.5703125" style="13" customWidth="1"/>
    <col min="17" max="17" width="7.5703125" style="11" customWidth="1"/>
    <col min="18" max="18" width="7.5703125" style="13" customWidth="1"/>
    <col min="19" max="19" width="9.28515625" style="30" customWidth="1"/>
    <col min="20" max="20" width="9.140625" style="11"/>
    <col min="21" max="56" width="9.140625" style="19"/>
    <col min="57" max="16384" width="9.140625" style="11"/>
  </cols>
  <sheetData>
    <row r="1" spans="1:56" ht="15" x14ac:dyDescent="0.25">
      <c r="A1" s="70" t="s">
        <v>189</v>
      </c>
      <c r="B1" s="70"/>
      <c r="S1" s="10"/>
      <c r="T1" s="19"/>
    </row>
    <row r="2" spans="1:56" ht="6.75" customHeight="1" thickBot="1" x14ac:dyDescent="0.3">
      <c r="A2" s="70"/>
      <c r="B2" s="70"/>
      <c r="C2" s="14"/>
      <c r="D2" s="14"/>
      <c r="E2" s="15"/>
      <c r="F2" s="14"/>
      <c r="G2" s="14"/>
      <c r="H2" s="15"/>
      <c r="I2" s="14"/>
      <c r="J2" s="14"/>
      <c r="K2" s="15"/>
      <c r="L2" s="14"/>
      <c r="M2" s="14"/>
      <c r="N2" s="15"/>
      <c r="O2" s="14"/>
      <c r="P2" s="14"/>
      <c r="Q2" s="964"/>
      <c r="R2" s="14"/>
      <c r="S2" s="34"/>
      <c r="T2" s="19"/>
    </row>
    <row r="3" spans="1:56" ht="111" customHeight="1" thickTop="1" x14ac:dyDescent="0.2">
      <c r="A3" s="180"/>
      <c r="B3" s="181"/>
      <c r="C3" s="97" t="s">
        <v>14</v>
      </c>
      <c r="D3" s="653" t="s">
        <v>84</v>
      </c>
      <c r="E3" s="971" t="s">
        <v>93</v>
      </c>
      <c r="F3" s="971" t="s">
        <v>159</v>
      </c>
      <c r="G3" s="971" t="s">
        <v>85</v>
      </c>
      <c r="H3" s="971" t="s">
        <v>107</v>
      </c>
      <c r="I3" s="971" t="s">
        <v>100</v>
      </c>
      <c r="J3" s="971" t="s">
        <v>104</v>
      </c>
      <c r="K3" s="971" t="s">
        <v>86</v>
      </c>
      <c r="L3" s="971" t="s">
        <v>148</v>
      </c>
      <c r="M3" s="971" t="s">
        <v>134</v>
      </c>
      <c r="N3" s="971" t="s">
        <v>20</v>
      </c>
      <c r="O3" s="971" t="s">
        <v>21</v>
      </c>
      <c r="P3" s="971" t="s">
        <v>22</v>
      </c>
      <c r="Q3" s="972" t="s">
        <v>23</v>
      </c>
      <c r="R3" s="1082" t="s">
        <v>138</v>
      </c>
      <c r="S3" s="19"/>
      <c r="T3" s="19"/>
      <c r="BD3" s="11"/>
    </row>
    <row r="4" spans="1:56" s="184" customFormat="1" ht="33" customHeight="1" x14ac:dyDescent="0.2">
      <c r="A4" s="35"/>
      <c r="B4" s="602" t="s">
        <v>24</v>
      </c>
      <c r="C4" s="182" t="s">
        <v>6</v>
      </c>
      <c r="D4" s="654" t="s">
        <v>2</v>
      </c>
      <c r="E4" s="973" t="s">
        <v>2</v>
      </c>
      <c r="F4" s="973" t="s">
        <v>3</v>
      </c>
      <c r="G4" s="973" t="s">
        <v>2</v>
      </c>
      <c r="H4" s="973" t="s">
        <v>2</v>
      </c>
      <c r="I4" s="973" t="s">
        <v>2</v>
      </c>
      <c r="J4" s="973" t="s">
        <v>2</v>
      </c>
      <c r="K4" s="973" t="s">
        <v>2</v>
      </c>
      <c r="L4" s="973" t="s">
        <v>3</v>
      </c>
      <c r="M4" s="973" t="s">
        <v>2</v>
      </c>
      <c r="N4" s="973" t="s">
        <v>2</v>
      </c>
      <c r="O4" s="973" t="s">
        <v>2</v>
      </c>
      <c r="P4" s="973" t="s">
        <v>2</v>
      </c>
      <c r="Q4" s="974" t="s">
        <v>2</v>
      </c>
      <c r="R4" s="1083" t="s">
        <v>2</v>
      </c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</row>
    <row r="5" spans="1:56" s="187" customFormat="1" ht="21" customHeight="1" x14ac:dyDescent="0.2">
      <c r="A5" s="1184" t="s">
        <v>97</v>
      </c>
      <c r="B5" s="1185"/>
      <c r="C5" s="185">
        <v>952.95740000000001</v>
      </c>
      <c r="D5" s="96">
        <v>423.10199999999998</v>
      </c>
      <c r="E5" s="63">
        <v>639.57899999999995</v>
      </c>
      <c r="F5" s="63">
        <v>819.62599999999998</v>
      </c>
      <c r="G5" s="63">
        <v>827.41200000000003</v>
      </c>
      <c r="H5" s="63">
        <v>848.33</v>
      </c>
      <c r="I5" s="63">
        <v>868.82299999999998</v>
      </c>
      <c r="J5" s="63">
        <v>937.90899999999999</v>
      </c>
      <c r="K5" s="63">
        <v>956.79899999999998</v>
      </c>
      <c r="L5" s="63">
        <v>959.00800000000004</v>
      </c>
      <c r="M5" s="63">
        <v>1091.6969999999999</v>
      </c>
      <c r="N5" s="63">
        <v>1096.8530000000001</v>
      </c>
      <c r="O5" s="63">
        <v>1155.163</v>
      </c>
      <c r="P5" s="63">
        <v>1174.01</v>
      </c>
      <c r="Q5" s="96">
        <v>1470.4169999999999</v>
      </c>
      <c r="R5" s="1084">
        <v>1591.4670000000001</v>
      </c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</row>
    <row r="6" spans="1:56" s="192" customFormat="1" ht="18" customHeight="1" x14ac:dyDescent="0.2">
      <c r="A6" s="188" t="s">
        <v>121</v>
      </c>
      <c r="B6" s="189"/>
      <c r="C6" s="190"/>
      <c r="D6" s="189"/>
      <c r="E6" s="189"/>
      <c r="F6" s="189"/>
      <c r="G6" s="189"/>
      <c r="H6" s="189"/>
      <c r="I6" s="189"/>
      <c r="J6" s="189"/>
      <c r="K6" s="189"/>
      <c r="L6" s="189"/>
      <c r="M6" s="377"/>
      <c r="N6" s="189"/>
      <c r="O6" s="191"/>
      <c r="P6" s="191"/>
      <c r="Q6" s="191"/>
      <c r="R6" s="1085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</row>
    <row r="7" spans="1:56" s="192" customFormat="1" ht="18.75" customHeight="1" x14ac:dyDescent="0.2">
      <c r="A7" s="315" t="s">
        <v>124</v>
      </c>
      <c r="B7" s="316"/>
      <c r="C7" s="314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49"/>
      <c r="R7" s="1086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</row>
    <row r="8" spans="1:56" s="192" customFormat="1" ht="19.5" customHeight="1" x14ac:dyDescent="0.2">
      <c r="A8" s="833" t="s">
        <v>288</v>
      </c>
      <c r="B8" s="317"/>
      <c r="C8" s="330">
        <v>100</v>
      </c>
      <c r="D8" s="324">
        <v>81.012987533550302</v>
      </c>
      <c r="E8" s="325">
        <v>91.391392798319217</v>
      </c>
      <c r="F8" s="325">
        <v>98.508489378686889</v>
      </c>
      <c r="G8" s="325">
        <v>100.94015031785595</v>
      </c>
      <c r="H8" s="325">
        <v>95.664912400910779</v>
      </c>
      <c r="I8" s="325">
        <v>97.615397982348711</v>
      </c>
      <c r="J8" s="325">
        <v>96.283386326676364</v>
      </c>
      <c r="K8" s="325">
        <v>103.86051038107311</v>
      </c>
      <c r="L8" s="325">
        <v>108.4130193725026</v>
      </c>
      <c r="M8" s="325">
        <v>108.50694444444444</v>
      </c>
      <c r="N8" s="325">
        <v>110.58358528596621</v>
      </c>
      <c r="O8" s="325">
        <v>99.765649726756294</v>
      </c>
      <c r="P8" s="325">
        <v>107.56952383034633</v>
      </c>
      <c r="Q8" s="324">
        <v>115.18276196306499</v>
      </c>
      <c r="R8" s="1087">
        <v>118.30093607691008</v>
      </c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</row>
    <row r="9" spans="1:56" s="192" customFormat="1" ht="19.5" customHeight="1" x14ac:dyDescent="0.2">
      <c r="A9" s="834" t="s">
        <v>289</v>
      </c>
      <c r="B9" s="318"/>
      <c r="C9" s="330">
        <v>100</v>
      </c>
      <c r="D9" s="324">
        <v>93.394139726875466</v>
      </c>
      <c r="E9" s="325">
        <v>99.256178974160335</v>
      </c>
      <c r="F9" s="325">
        <v>98.257011364022404</v>
      </c>
      <c r="G9" s="325">
        <v>100.37887723590653</v>
      </c>
      <c r="H9" s="325">
        <v>97.437962742357925</v>
      </c>
      <c r="I9" s="325">
        <v>100.43814151637866</v>
      </c>
      <c r="J9" s="325">
        <v>99.846285753894676</v>
      </c>
      <c r="K9" s="325">
        <v>101.21016873681863</v>
      </c>
      <c r="L9" s="325">
        <v>101.62709998959562</v>
      </c>
      <c r="M9" s="325">
        <v>101.80604715962683</v>
      </c>
      <c r="N9" s="325">
        <v>105.35733039806455</v>
      </c>
      <c r="O9" s="325">
        <v>99.138367496143402</v>
      </c>
      <c r="P9" s="325">
        <v>101.38874862047234</v>
      </c>
      <c r="Q9" s="324">
        <v>102.82305439381123</v>
      </c>
      <c r="R9" s="1087">
        <v>103.66438505570636</v>
      </c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</row>
    <row r="10" spans="1:56" s="192" customFormat="1" ht="19.5" customHeight="1" x14ac:dyDescent="0.2">
      <c r="A10" s="321" t="s">
        <v>25</v>
      </c>
      <c r="B10" s="322"/>
      <c r="C10" s="333">
        <v>43.019010269277139</v>
      </c>
      <c r="D10" s="334">
        <v>37.304135349046959</v>
      </c>
      <c r="E10" s="335">
        <v>39.597676191553582</v>
      </c>
      <c r="F10" s="335">
        <v>43.115364816217728</v>
      </c>
      <c r="G10" s="335">
        <v>43.245763574195486</v>
      </c>
      <c r="H10" s="335">
        <v>42.22274256424469</v>
      </c>
      <c r="I10" s="335">
        <v>41.796663758897118</v>
      </c>
      <c r="J10" s="335">
        <v>41.470703098827514</v>
      </c>
      <c r="K10" s="335">
        <v>44.131456372621685</v>
      </c>
      <c r="L10" s="335">
        <v>45.876878805357194</v>
      </c>
      <c r="M10" s="335">
        <v>45.835915993342581</v>
      </c>
      <c r="N10" s="335">
        <v>45.138577111035907</v>
      </c>
      <c r="O10" s="335">
        <v>43.277406657270028</v>
      </c>
      <c r="P10" s="335">
        <v>45.626950088515414</v>
      </c>
      <c r="Q10" s="334">
        <v>48.174691685460189</v>
      </c>
      <c r="R10" s="1088">
        <v>49.077288658269275</v>
      </c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</row>
    <row r="11" spans="1:56" s="198" customFormat="1" ht="19.5" customHeight="1" x14ac:dyDescent="0.2">
      <c r="A11" s="833" t="s">
        <v>286</v>
      </c>
      <c r="B11" s="317"/>
      <c r="C11" s="332">
        <v>100</v>
      </c>
      <c r="D11" s="324">
        <v>81.171327209602154</v>
      </c>
      <c r="E11" s="325">
        <v>80.515046431567598</v>
      </c>
      <c r="F11" s="325">
        <v>106.92347948630587</v>
      </c>
      <c r="G11" s="325">
        <v>93.557528062014654</v>
      </c>
      <c r="H11" s="324">
        <v>96.068709962628901</v>
      </c>
      <c r="I11" s="325">
        <v>97.001004268532697</v>
      </c>
      <c r="J11" s="324">
        <v>96.259582802632025</v>
      </c>
      <c r="K11" s="325">
        <v>110.04036032958633</v>
      </c>
      <c r="L11" s="324">
        <v>122.14764407119878</v>
      </c>
      <c r="M11" s="324">
        <v>103.57881833375018</v>
      </c>
      <c r="N11" s="325">
        <v>104.14912375481926</v>
      </c>
      <c r="O11" s="324">
        <v>102.91132723935425</v>
      </c>
      <c r="P11" s="325">
        <v>123.79343838573726</v>
      </c>
      <c r="Q11" s="324">
        <v>115.91023144728294</v>
      </c>
      <c r="R11" s="1087">
        <v>91.591154217375077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</row>
    <row r="12" spans="1:56" s="199" customFormat="1" ht="19.5" customHeight="1" x14ac:dyDescent="0.2">
      <c r="A12" s="833" t="s">
        <v>287</v>
      </c>
      <c r="B12" s="323"/>
      <c r="C12" s="336">
        <v>100</v>
      </c>
      <c r="D12" s="324">
        <v>62.421323708844156</v>
      </c>
      <c r="E12" s="325">
        <v>81.717891972378098</v>
      </c>
      <c r="F12" s="325">
        <v>100.22736208831566</v>
      </c>
      <c r="G12" s="325">
        <v>103.579807338508</v>
      </c>
      <c r="H12" s="324">
        <v>90.390093944476462</v>
      </c>
      <c r="I12" s="325">
        <v>96.528936272898818</v>
      </c>
      <c r="J12" s="324">
        <v>98.658610196120406</v>
      </c>
      <c r="K12" s="325">
        <v>107.01753621242598</v>
      </c>
      <c r="L12" s="324">
        <v>108.98542479934441</v>
      </c>
      <c r="M12" s="324">
        <v>111.18616876262857</v>
      </c>
      <c r="N12" s="325">
        <v>117.73065518405663</v>
      </c>
      <c r="O12" s="324">
        <v>107.25877036799535</v>
      </c>
      <c r="P12" s="325">
        <v>118.87135733412211</v>
      </c>
      <c r="Q12" s="324">
        <v>120.72072300761998</v>
      </c>
      <c r="R12" s="1087">
        <v>124.00768265605416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</row>
    <row r="13" spans="1:56" s="199" customFormat="1" ht="16.5" customHeight="1" x14ac:dyDescent="0.2">
      <c r="A13" s="315" t="s">
        <v>125</v>
      </c>
      <c r="B13" s="316"/>
      <c r="C13" s="337"/>
      <c r="D13" s="328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8"/>
      <c r="R13" s="1089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</row>
    <row r="14" spans="1:56" s="192" customFormat="1" ht="20.25" customHeight="1" x14ac:dyDescent="0.2">
      <c r="A14" s="833" t="s">
        <v>290</v>
      </c>
      <c r="B14" s="317"/>
      <c r="C14" s="330">
        <v>100</v>
      </c>
      <c r="D14" s="324">
        <v>76.951357748529276</v>
      </c>
      <c r="E14" s="325">
        <v>82.20010378760287</v>
      </c>
      <c r="F14" s="325">
        <v>101.28075541394091</v>
      </c>
      <c r="G14" s="325">
        <v>115.07087855238858</v>
      </c>
      <c r="H14" s="325">
        <v>98.985232650047067</v>
      </c>
      <c r="I14" s="325">
        <v>99.581527883875353</v>
      </c>
      <c r="J14" s="325">
        <v>91.873735508901675</v>
      </c>
      <c r="K14" s="325">
        <v>98.886024204612411</v>
      </c>
      <c r="L14" s="325">
        <v>120.15448443661482</v>
      </c>
      <c r="M14" s="325">
        <v>111.56719638455277</v>
      </c>
      <c r="N14" s="325">
        <v>114.96391050931652</v>
      </c>
      <c r="O14" s="325">
        <v>104.92657251926956</v>
      </c>
      <c r="P14" s="325">
        <v>110.83095481769347</v>
      </c>
      <c r="Q14" s="324">
        <v>109.47011538203346</v>
      </c>
      <c r="R14" s="1087">
        <v>118.08617860866752</v>
      </c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</row>
    <row r="15" spans="1:56" s="192" customFormat="1" ht="20.25" customHeight="1" x14ac:dyDescent="0.2">
      <c r="A15" s="834" t="s">
        <v>291</v>
      </c>
      <c r="B15" s="318"/>
      <c r="C15" s="330">
        <v>100</v>
      </c>
      <c r="D15" s="324">
        <v>93.549442565476028</v>
      </c>
      <c r="E15" s="325">
        <v>97.069734455145962</v>
      </c>
      <c r="F15" s="325">
        <v>99.371464126809286</v>
      </c>
      <c r="G15" s="325">
        <v>103.37115695682506</v>
      </c>
      <c r="H15" s="325">
        <v>98.641688401512454</v>
      </c>
      <c r="I15" s="325">
        <v>98.217227963213077</v>
      </c>
      <c r="J15" s="325">
        <v>99.554328306746797</v>
      </c>
      <c r="K15" s="325">
        <v>100.34868223562199</v>
      </c>
      <c r="L15" s="325">
        <v>103.30902553406199</v>
      </c>
      <c r="M15" s="325">
        <v>103.86888073671119</v>
      </c>
      <c r="N15" s="325">
        <v>104.805334730033</v>
      </c>
      <c r="O15" s="325">
        <v>100.40991712801002</v>
      </c>
      <c r="P15" s="325">
        <v>100.47117069811422</v>
      </c>
      <c r="Q15" s="324">
        <v>102.0085802084668</v>
      </c>
      <c r="R15" s="1087">
        <v>103.8065998922189</v>
      </c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</row>
    <row r="16" spans="1:56" s="192" customFormat="1" ht="20.25" customHeight="1" x14ac:dyDescent="0.2">
      <c r="A16" s="321" t="s">
        <v>25</v>
      </c>
      <c r="B16" s="322"/>
      <c r="C16" s="333">
        <v>37.596857121160213</v>
      </c>
      <c r="D16" s="334">
        <v>30.88760609849534</v>
      </c>
      <c r="E16" s="335">
        <v>31.797845254881192</v>
      </c>
      <c r="F16" s="335">
        <v>38.27140537734369</v>
      </c>
      <c r="G16" s="335">
        <v>41.799897713681247</v>
      </c>
      <c r="H16" s="335">
        <v>37.680710059171602</v>
      </c>
      <c r="I16" s="335">
        <v>38.071525577184246</v>
      </c>
      <c r="J16" s="335">
        <v>34.652964641928286</v>
      </c>
      <c r="K16" s="335">
        <v>37.002614356214316</v>
      </c>
      <c r="L16" s="335">
        <v>43.672784877180781</v>
      </c>
      <c r="M16" s="335">
        <v>40.332972943812948</v>
      </c>
      <c r="N16" s="335">
        <v>41.189574515482285</v>
      </c>
      <c r="O16" s="335">
        <v>39.239010323906385</v>
      </c>
      <c r="P16" s="335">
        <v>41.421782049375388</v>
      </c>
      <c r="Q16" s="334">
        <v>40.296566198466074</v>
      </c>
      <c r="R16" s="1088">
        <v>42.715281178917174</v>
      </c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</row>
    <row r="17" spans="1:55" s="192" customFormat="1" ht="20.25" customHeight="1" x14ac:dyDescent="0.2">
      <c r="A17" s="835" t="s">
        <v>292</v>
      </c>
      <c r="B17" s="320"/>
      <c r="C17" s="330">
        <v>100</v>
      </c>
      <c r="D17" s="324">
        <v>70.178005779038614</v>
      </c>
      <c r="E17" s="325">
        <v>74.509051599887954</v>
      </c>
      <c r="F17" s="325">
        <v>110.00611347004255</v>
      </c>
      <c r="G17" s="325">
        <v>115.5570689422222</v>
      </c>
      <c r="H17" s="325">
        <v>103.43760068819361</v>
      </c>
      <c r="I17" s="325">
        <v>95.880308942943685</v>
      </c>
      <c r="J17" s="325">
        <v>94.408483939974289</v>
      </c>
      <c r="K17" s="325">
        <v>100.25614225632987</v>
      </c>
      <c r="L17" s="325">
        <v>111.11105494397533</v>
      </c>
      <c r="M17" s="325">
        <v>111.16786744717302</v>
      </c>
      <c r="N17" s="325">
        <v>109.58260620778695</v>
      </c>
      <c r="O17" s="325">
        <v>107.0587152909695</v>
      </c>
      <c r="P17" s="325">
        <v>117.65198008249837</v>
      </c>
      <c r="Q17" s="324">
        <v>114.05578130181173</v>
      </c>
      <c r="R17" s="1087">
        <v>119.1472615704142</v>
      </c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</row>
    <row r="18" spans="1:55" s="192" customFormat="1" ht="20.25" customHeight="1" x14ac:dyDescent="0.2">
      <c r="A18" s="1004" t="s">
        <v>293</v>
      </c>
      <c r="B18" s="319"/>
      <c r="C18" s="331">
        <v>100</v>
      </c>
      <c r="D18" s="326">
        <v>75.763422102938947</v>
      </c>
      <c r="E18" s="327">
        <v>80.196884265633543</v>
      </c>
      <c r="F18" s="327">
        <v>95.802524037844776</v>
      </c>
      <c r="G18" s="327">
        <v>112.22159504337775</v>
      </c>
      <c r="H18" s="327">
        <v>82.778626154828061</v>
      </c>
      <c r="I18" s="327">
        <v>92.50322514179517</v>
      </c>
      <c r="J18" s="327">
        <v>95.771421846981497</v>
      </c>
      <c r="K18" s="327">
        <v>101.45116311280671</v>
      </c>
      <c r="L18" s="327">
        <v>123.85336249896955</v>
      </c>
      <c r="M18" s="327">
        <v>105.23072689681628</v>
      </c>
      <c r="N18" s="327">
        <v>110.81212727163444</v>
      </c>
      <c r="O18" s="327">
        <v>106.99845433927165</v>
      </c>
      <c r="P18" s="327">
        <v>125.37878875144671</v>
      </c>
      <c r="Q18" s="326">
        <v>114.96500823640623</v>
      </c>
      <c r="R18" s="1090">
        <v>122.4779104604433</v>
      </c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</row>
    <row r="19" spans="1:55" s="200" customFormat="1" ht="17.25" customHeight="1" x14ac:dyDescent="0.2">
      <c r="A19" s="188" t="s">
        <v>126</v>
      </c>
      <c r="B19" s="189"/>
      <c r="C19" s="241"/>
      <c r="D19" s="24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091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</row>
    <row r="20" spans="1:55" s="202" customFormat="1" ht="21" customHeight="1" x14ac:dyDescent="0.2">
      <c r="A20" s="201" t="s">
        <v>122</v>
      </c>
      <c r="B20" s="338" t="s">
        <v>131</v>
      </c>
      <c r="C20" s="133">
        <v>48.51</v>
      </c>
      <c r="D20" s="134">
        <v>45.61</v>
      </c>
      <c r="E20" s="135">
        <v>52.03</v>
      </c>
      <c r="F20" s="135">
        <v>46.07</v>
      </c>
      <c r="G20" s="135">
        <v>50.6</v>
      </c>
      <c r="H20" s="136">
        <v>42.99</v>
      </c>
      <c r="I20" s="135">
        <v>53.41</v>
      </c>
      <c r="J20" s="136">
        <v>51.42</v>
      </c>
      <c r="K20" s="135">
        <v>47.78</v>
      </c>
      <c r="L20" s="136">
        <v>49.22</v>
      </c>
      <c r="M20" s="136">
        <v>50.84</v>
      </c>
      <c r="N20" s="135">
        <v>51.8</v>
      </c>
      <c r="O20" s="136">
        <v>45.7</v>
      </c>
      <c r="P20" s="135">
        <v>51.53</v>
      </c>
      <c r="Q20" s="136">
        <v>45.63</v>
      </c>
      <c r="R20" s="1092">
        <v>45.46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</row>
    <row r="21" spans="1:55" s="199" customFormat="1" ht="21" customHeight="1" x14ac:dyDescent="0.2">
      <c r="A21" s="193"/>
      <c r="B21" s="596" t="s">
        <v>129</v>
      </c>
      <c r="C21" s="138">
        <v>48.86</v>
      </c>
      <c r="D21" s="139">
        <v>39.94</v>
      </c>
      <c r="E21" s="126">
        <v>47.81</v>
      </c>
      <c r="F21" s="126">
        <v>49.66</v>
      </c>
      <c r="G21" s="126">
        <v>52.65</v>
      </c>
      <c r="H21" s="125">
        <v>45.54</v>
      </c>
      <c r="I21" s="126">
        <v>44.26</v>
      </c>
      <c r="J21" s="125">
        <v>45.89</v>
      </c>
      <c r="K21" s="126">
        <v>51.54</v>
      </c>
      <c r="L21" s="125">
        <v>49</v>
      </c>
      <c r="M21" s="125">
        <v>55.43</v>
      </c>
      <c r="N21" s="126">
        <v>53.66</v>
      </c>
      <c r="O21" s="125">
        <v>48.17</v>
      </c>
      <c r="P21" s="126">
        <v>54.5</v>
      </c>
      <c r="Q21" s="125">
        <v>48.88</v>
      </c>
      <c r="R21" s="1093">
        <v>51.45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</row>
    <row r="22" spans="1:55" s="199" customFormat="1" ht="21" customHeight="1" x14ac:dyDescent="0.2">
      <c r="A22" s="193"/>
      <c r="B22" s="596" t="s">
        <v>27</v>
      </c>
      <c r="C22" s="138">
        <v>48.19</v>
      </c>
      <c r="D22" s="139">
        <v>41.87</v>
      </c>
      <c r="E22" s="126">
        <v>44.97</v>
      </c>
      <c r="F22" s="126">
        <v>50.65</v>
      </c>
      <c r="G22" s="126">
        <v>54.32</v>
      </c>
      <c r="H22" s="125">
        <v>46.21</v>
      </c>
      <c r="I22" s="126">
        <v>47.4</v>
      </c>
      <c r="J22" s="125">
        <v>47.25</v>
      </c>
      <c r="K22" s="126">
        <v>46.62</v>
      </c>
      <c r="L22" s="125">
        <v>54.11</v>
      </c>
      <c r="M22" s="125">
        <v>47.26</v>
      </c>
      <c r="N22" s="126">
        <v>51.73</v>
      </c>
      <c r="O22" s="141">
        <v>48.32</v>
      </c>
      <c r="P22" s="126">
        <v>51.42</v>
      </c>
      <c r="Q22" s="125">
        <v>49.19</v>
      </c>
      <c r="R22" s="1093">
        <v>51.17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</row>
    <row r="23" spans="1:55" s="199" customFormat="1" ht="21" customHeight="1" x14ac:dyDescent="0.2">
      <c r="A23" s="235"/>
      <c r="B23" s="339" t="s">
        <v>127</v>
      </c>
      <c r="C23" s="732">
        <v>6.4022038727913539</v>
      </c>
      <c r="D23" s="733">
        <v>4.7352646666666658</v>
      </c>
      <c r="E23" s="734">
        <v>5.934883000000001</v>
      </c>
      <c r="F23" s="734">
        <v>6.7620534999999986</v>
      </c>
      <c r="G23" s="734">
        <v>7.4936544999999999</v>
      </c>
      <c r="H23" s="735">
        <v>5.8182327619047616</v>
      </c>
      <c r="I23" s="734">
        <v>5.8118510000000008</v>
      </c>
      <c r="J23" s="735">
        <v>5.9744290000000007</v>
      </c>
      <c r="K23" s="734">
        <v>6.5258760000000002</v>
      </c>
      <c r="L23" s="735">
        <v>7.0696335000000001</v>
      </c>
      <c r="M23" s="735">
        <v>7.0833281333333336</v>
      </c>
      <c r="N23" s="734">
        <v>7.3200915000000002</v>
      </c>
      <c r="O23" s="736">
        <v>6.3431130624999987</v>
      </c>
      <c r="P23" s="734">
        <v>7.3605047368421062</v>
      </c>
      <c r="Q23" s="735">
        <v>6.5159894999999999</v>
      </c>
      <c r="R23" s="1094">
        <v>7.0178575333333342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</row>
    <row r="24" spans="1:55" s="199" customFormat="1" ht="21" customHeight="1" x14ac:dyDescent="0.2">
      <c r="A24" s="201" t="s">
        <v>123</v>
      </c>
      <c r="B24" s="338" t="s">
        <v>131</v>
      </c>
      <c r="C24" s="133">
        <v>57.35</v>
      </c>
      <c r="D24" s="134">
        <v>61.86</v>
      </c>
      <c r="E24" s="135">
        <v>63.25</v>
      </c>
      <c r="F24" s="135">
        <v>62.29</v>
      </c>
      <c r="G24" s="135">
        <v>52.03</v>
      </c>
      <c r="H24" s="136">
        <v>55.84</v>
      </c>
      <c r="I24" s="135">
        <v>57.27</v>
      </c>
      <c r="J24" s="136">
        <v>60.63</v>
      </c>
      <c r="K24" s="135">
        <v>56.79</v>
      </c>
      <c r="L24" s="136">
        <v>54.56</v>
      </c>
      <c r="M24" s="136">
        <v>56.54</v>
      </c>
      <c r="N24" s="135">
        <v>62.16</v>
      </c>
      <c r="O24" s="136">
        <v>54.05</v>
      </c>
      <c r="P24" s="135">
        <v>57.15</v>
      </c>
      <c r="Q24" s="136">
        <v>49.76</v>
      </c>
      <c r="R24" s="1092">
        <v>52.36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</row>
    <row r="25" spans="1:55" s="199" customFormat="1" ht="21" customHeight="1" x14ac:dyDescent="0.2">
      <c r="A25" s="193"/>
      <c r="B25" s="596" t="s">
        <v>129</v>
      </c>
      <c r="C25" s="138">
        <v>57.24</v>
      </c>
      <c r="D25" s="139">
        <v>63.06</v>
      </c>
      <c r="E25" s="126">
        <v>65.180000000000007</v>
      </c>
      <c r="F25" s="126">
        <v>63.28</v>
      </c>
      <c r="G25" s="126">
        <v>52.61</v>
      </c>
      <c r="H25" s="125">
        <v>60.86</v>
      </c>
      <c r="I25" s="126">
        <v>59.21</v>
      </c>
      <c r="J25" s="125">
        <v>63.47</v>
      </c>
      <c r="K25" s="126">
        <v>54.93</v>
      </c>
      <c r="L25" s="125">
        <v>58.95</v>
      </c>
      <c r="M25" s="125">
        <v>55.31</v>
      </c>
      <c r="N25" s="126">
        <v>59.08</v>
      </c>
      <c r="O25" s="125">
        <v>49.93</v>
      </c>
      <c r="P25" s="126">
        <v>57.54</v>
      </c>
      <c r="Q25" s="125">
        <v>45.77</v>
      </c>
      <c r="R25" s="1093">
        <v>51.93</v>
      </c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</row>
    <row r="26" spans="1:55" s="239" customFormat="1" ht="21" customHeight="1" x14ac:dyDescent="0.2">
      <c r="A26" s="235"/>
      <c r="B26" s="596" t="s">
        <v>27</v>
      </c>
      <c r="C26" s="236">
        <v>51.74</v>
      </c>
      <c r="D26" s="237">
        <v>55.42</v>
      </c>
      <c r="E26" s="232">
        <v>53.24</v>
      </c>
      <c r="F26" s="232">
        <v>51.46</v>
      </c>
      <c r="G26" s="232">
        <v>48.62</v>
      </c>
      <c r="H26" s="233">
        <v>52.87</v>
      </c>
      <c r="I26" s="232">
        <v>52.33</v>
      </c>
      <c r="J26" s="233">
        <v>59.48</v>
      </c>
      <c r="K26" s="232">
        <v>49.02</v>
      </c>
      <c r="L26" s="233">
        <v>50.51</v>
      </c>
      <c r="M26" s="233">
        <v>52.15</v>
      </c>
      <c r="N26" s="232">
        <v>55.8</v>
      </c>
      <c r="O26" s="233">
        <v>46.97</v>
      </c>
      <c r="P26" s="232">
        <v>53.81</v>
      </c>
      <c r="Q26" s="233">
        <v>42.13</v>
      </c>
      <c r="R26" s="1095">
        <v>49.8</v>
      </c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</row>
    <row r="27" spans="1:55" s="204" customFormat="1" ht="21" customHeight="1" x14ac:dyDescent="0.2">
      <c r="A27" s="203"/>
      <c r="B27" s="340" t="s">
        <v>127</v>
      </c>
      <c r="C27" s="737">
        <v>6.9462905991517259</v>
      </c>
      <c r="D27" s="738">
        <v>7.9075051794871811</v>
      </c>
      <c r="E27" s="739">
        <v>7.9215230000000005</v>
      </c>
      <c r="F27" s="739">
        <v>7.5419310000000017</v>
      </c>
      <c r="G27" s="739">
        <v>6.1483744999999992</v>
      </c>
      <c r="H27" s="740">
        <v>7.476995619047619</v>
      </c>
      <c r="I27" s="739">
        <v>7.2118510000000011</v>
      </c>
      <c r="J27" s="740">
        <v>8.3887924999999992</v>
      </c>
      <c r="K27" s="739">
        <v>6.4289425000000016</v>
      </c>
      <c r="L27" s="740">
        <v>6.9972989999999999</v>
      </c>
      <c r="M27" s="740">
        <v>6.8127292666666666</v>
      </c>
      <c r="N27" s="739">
        <v>7.5563719999999996</v>
      </c>
      <c r="O27" s="741">
        <v>5.689013166666669</v>
      </c>
      <c r="P27" s="739">
        <v>7.17200252631579</v>
      </c>
      <c r="Q27" s="740">
        <v>4.7733850000000011</v>
      </c>
      <c r="R27" s="1096">
        <v>6.2145968000000007</v>
      </c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</row>
    <row r="28" spans="1:55" s="206" customFormat="1" ht="21" customHeight="1" x14ac:dyDescent="0.2">
      <c r="A28" s="188" t="s">
        <v>128</v>
      </c>
      <c r="B28" s="341"/>
      <c r="C28" s="205"/>
      <c r="D28" s="24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091"/>
      <c r="S28" s="27"/>
      <c r="T28" s="27"/>
      <c r="U28" s="195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</row>
    <row r="29" spans="1:55" s="208" customFormat="1" ht="21" customHeight="1" x14ac:dyDescent="0.2">
      <c r="A29" s="207" t="s">
        <v>123</v>
      </c>
      <c r="B29" s="338" t="s">
        <v>131</v>
      </c>
      <c r="C29" s="133">
        <v>38.33</v>
      </c>
      <c r="D29" s="1037">
        <v>45.8</v>
      </c>
      <c r="E29" s="142">
        <v>41.67</v>
      </c>
      <c r="F29" s="142">
        <v>42.7</v>
      </c>
      <c r="G29" s="142">
        <v>35.869999999999997</v>
      </c>
      <c r="H29" s="143">
        <v>41.17</v>
      </c>
      <c r="I29" s="142">
        <v>41.74</v>
      </c>
      <c r="J29" s="143">
        <v>37.979999999999997</v>
      </c>
      <c r="K29" s="142">
        <v>39.840000000000003</v>
      </c>
      <c r="L29" s="143">
        <v>39.99</v>
      </c>
      <c r="M29" s="143">
        <v>40.909999999999997</v>
      </c>
      <c r="N29" s="142">
        <v>33.72</v>
      </c>
      <c r="O29" s="143">
        <v>37.17</v>
      </c>
      <c r="P29" s="142">
        <v>36.06</v>
      </c>
      <c r="Q29" s="143">
        <v>34.04</v>
      </c>
      <c r="R29" s="1097">
        <v>31.14</v>
      </c>
      <c r="S29" s="27"/>
      <c r="T29" s="27"/>
      <c r="U29" s="195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</row>
    <row r="30" spans="1:55" s="210" customFormat="1" ht="21" customHeight="1" x14ac:dyDescent="0.2">
      <c r="A30" s="209"/>
      <c r="B30" s="596" t="s">
        <v>129</v>
      </c>
      <c r="C30" s="138">
        <v>56.97</v>
      </c>
      <c r="D30" s="144">
        <v>61.04</v>
      </c>
      <c r="E30" s="145">
        <v>68.010000000000005</v>
      </c>
      <c r="F30" s="145">
        <v>58.4</v>
      </c>
      <c r="G30" s="145">
        <v>53.38</v>
      </c>
      <c r="H30" s="146">
        <v>58.94</v>
      </c>
      <c r="I30" s="145">
        <v>56.2</v>
      </c>
      <c r="J30" s="146">
        <v>61.6</v>
      </c>
      <c r="K30" s="145">
        <v>54.79</v>
      </c>
      <c r="L30" s="146">
        <v>50.28</v>
      </c>
      <c r="M30" s="146">
        <v>53.98</v>
      </c>
      <c r="N30" s="145">
        <v>59.81</v>
      </c>
      <c r="O30" s="146">
        <v>52.71</v>
      </c>
      <c r="P30" s="145">
        <v>53.06</v>
      </c>
      <c r="Q30" s="146">
        <v>46.4</v>
      </c>
      <c r="R30" s="1098">
        <v>52.27</v>
      </c>
      <c r="S30" s="27"/>
      <c r="T30" s="27"/>
      <c r="U30" s="195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</row>
    <row r="31" spans="1:55" s="210" customFormat="1" ht="21" customHeight="1" x14ac:dyDescent="0.2">
      <c r="A31" s="209"/>
      <c r="B31" s="597" t="s">
        <v>27</v>
      </c>
      <c r="C31" s="138">
        <v>45.8</v>
      </c>
      <c r="D31" s="144">
        <v>50.08</v>
      </c>
      <c r="E31" s="145">
        <v>44.27</v>
      </c>
      <c r="F31" s="145">
        <v>51.02</v>
      </c>
      <c r="G31" s="145">
        <v>47.97</v>
      </c>
      <c r="H31" s="146">
        <v>51.88</v>
      </c>
      <c r="I31" s="145">
        <v>47.96</v>
      </c>
      <c r="J31" s="146">
        <v>45.77</v>
      </c>
      <c r="K31" s="145">
        <v>47.06</v>
      </c>
      <c r="L31" s="146">
        <v>49.11</v>
      </c>
      <c r="M31" s="146">
        <v>46.06</v>
      </c>
      <c r="N31" s="145">
        <v>45.13</v>
      </c>
      <c r="O31" s="146">
        <v>42.97</v>
      </c>
      <c r="P31" s="145">
        <v>43.86</v>
      </c>
      <c r="Q31" s="146">
        <v>39.020000000000003</v>
      </c>
      <c r="R31" s="1098">
        <v>46.21</v>
      </c>
      <c r="S31" s="27"/>
      <c r="T31" s="27"/>
      <c r="U31" s="195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</row>
    <row r="32" spans="1:55" s="210" customFormat="1" ht="21" customHeight="1" x14ac:dyDescent="0.2">
      <c r="A32" s="248"/>
      <c r="B32" s="253" t="s">
        <v>127</v>
      </c>
      <c r="C32" s="732">
        <v>7.4303335132079598</v>
      </c>
      <c r="D32" s="742">
        <v>8.5848559999999985</v>
      </c>
      <c r="E32" s="743">
        <v>8.7473140000000029</v>
      </c>
      <c r="F32" s="743">
        <v>8.3467710000000004</v>
      </c>
      <c r="G32" s="743">
        <v>7.2165675000000027</v>
      </c>
      <c r="H32" s="744">
        <v>8.5899244761904754</v>
      </c>
      <c r="I32" s="743">
        <v>7.6101079999999994</v>
      </c>
      <c r="J32" s="744">
        <v>8.1652395238095288</v>
      </c>
      <c r="K32" s="743">
        <v>7.3086861020408174</v>
      </c>
      <c r="L32" s="744">
        <v>6.9420694999999997</v>
      </c>
      <c r="M32" s="744">
        <v>7.1070484000000009</v>
      </c>
      <c r="N32" s="743">
        <v>7.7193470000000017</v>
      </c>
      <c r="O32" s="744">
        <v>6.3656470416666666</v>
      </c>
      <c r="P32" s="743">
        <v>6.5961460000000018</v>
      </c>
      <c r="Q32" s="744">
        <v>5.0096074883720929</v>
      </c>
      <c r="R32" s="1099">
        <v>6.871204200000002</v>
      </c>
      <c r="S32" s="27"/>
      <c r="T32" s="27"/>
      <c r="U32" s="195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</row>
    <row r="33" spans="1:55" s="211" customFormat="1" ht="9.75" customHeight="1" x14ac:dyDescent="0.2">
      <c r="A33" s="249"/>
      <c r="B33" s="250"/>
      <c r="C33" s="251"/>
      <c r="D33" s="24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091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</row>
    <row r="34" spans="1:55" s="196" customFormat="1" ht="17.25" customHeight="1" x14ac:dyDescent="0.2">
      <c r="A34" s="168"/>
      <c r="B34" s="313" t="s">
        <v>11</v>
      </c>
      <c r="C34" s="182" t="s">
        <v>6</v>
      </c>
      <c r="D34" s="128">
        <v>2001</v>
      </c>
      <c r="E34" s="129">
        <v>1969</v>
      </c>
      <c r="F34" s="794">
        <v>2019</v>
      </c>
      <c r="G34" s="129">
        <v>1994</v>
      </c>
      <c r="H34" s="130">
        <v>2013</v>
      </c>
      <c r="I34" s="130">
        <v>2011</v>
      </c>
      <c r="J34" s="129">
        <v>2003</v>
      </c>
      <c r="K34" s="129">
        <v>1997</v>
      </c>
      <c r="L34" s="130">
        <v>2018</v>
      </c>
      <c r="M34" s="130">
        <v>2015</v>
      </c>
      <c r="N34" s="130">
        <v>2009</v>
      </c>
      <c r="O34" s="130">
        <v>1985</v>
      </c>
      <c r="P34" s="129">
        <v>2001</v>
      </c>
      <c r="Q34" s="128">
        <v>1981</v>
      </c>
      <c r="R34" s="1100">
        <v>2015</v>
      </c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</row>
    <row r="35" spans="1:55" s="206" customFormat="1" ht="17.25" customHeight="1" x14ac:dyDescent="0.2">
      <c r="A35" s="212" t="s">
        <v>68</v>
      </c>
      <c r="B35" s="213"/>
      <c r="C35" s="214"/>
      <c r="D35" s="24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09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</row>
    <row r="36" spans="1:55" s="211" customFormat="1" ht="19.899999999999999" customHeight="1" x14ac:dyDescent="0.2">
      <c r="A36" s="215" t="s">
        <v>34</v>
      </c>
      <c r="B36" s="216"/>
      <c r="C36" s="217" t="s">
        <v>6</v>
      </c>
      <c r="D36" s="147">
        <v>20</v>
      </c>
      <c r="E36" s="148">
        <v>11</v>
      </c>
      <c r="F36" s="148">
        <v>5</v>
      </c>
      <c r="G36" s="148">
        <v>14</v>
      </c>
      <c r="H36" s="147">
        <v>11</v>
      </c>
      <c r="I36" s="148">
        <v>11</v>
      </c>
      <c r="J36" s="147">
        <v>12</v>
      </c>
      <c r="K36" s="148">
        <v>26</v>
      </c>
      <c r="L36" s="147">
        <v>6</v>
      </c>
      <c r="M36" s="147">
        <v>8</v>
      </c>
      <c r="N36" s="148">
        <v>15</v>
      </c>
      <c r="O36" s="147">
        <v>24</v>
      </c>
      <c r="P36" s="148">
        <v>10</v>
      </c>
      <c r="Q36" s="147">
        <v>23</v>
      </c>
      <c r="R36" s="1101">
        <v>8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</row>
    <row r="37" spans="1:55" s="218" customFormat="1" ht="19.899999999999999" customHeight="1" thickBot="1" x14ac:dyDescent="0.25">
      <c r="A37" s="417" t="s">
        <v>35</v>
      </c>
      <c r="B37" s="418"/>
      <c r="C37" s="419" t="s">
        <v>6</v>
      </c>
      <c r="D37" s="420">
        <v>20</v>
      </c>
      <c r="E37" s="421">
        <v>10</v>
      </c>
      <c r="F37" s="421">
        <v>5</v>
      </c>
      <c r="G37" s="421">
        <v>13</v>
      </c>
      <c r="H37" s="420">
        <v>10</v>
      </c>
      <c r="I37" s="421">
        <v>10</v>
      </c>
      <c r="J37" s="420">
        <v>11</v>
      </c>
      <c r="K37" s="421">
        <v>25</v>
      </c>
      <c r="L37" s="420">
        <v>6</v>
      </c>
      <c r="M37" s="420">
        <v>7</v>
      </c>
      <c r="N37" s="421">
        <v>14</v>
      </c>
      <c r="O37" s="420">
        <v>25</v>
      </c>
      <c r="P37" s="421">
        <v>10</v>
      </c>
      <c r="Q37" s="420">
        <v>22</v>
      </c>
      <c r="R37" s="1102">
        <v>7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</row>
    <row r="38" spans="1:55" s="6" customFormat="1" ht="12" customHeight="1" x14ac:dyDescent="0.2">
      <c r="B38" s="219"/>
      <c r="C38" s="415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55" s="19" customFormat="1" ht="16.5" customHeight="1" x14ac:dyDescent="0.2">
      <c r="A39" s="219" t="s">
        <v>188</v>
      </c>
      <c r="B39" s="1"/>
      <c r="C39" s="2"/>
      <c r="D39" s="10"/>
      <c r="E39" s="10"/>
      <c r="G39" s="109"/>
      <c r="H39" s="10"/>
      <c r="J39" s="10"/>
      <c r="K39" s="10"/>
      <c r="L39" s="10"/>
      <c r="O39" s="20"/>
      <c r="P39" s="20"/>
      <c r="R39" s="20"/>
    </row>
    <row r="40" spans="1:55" s="19" customFormat="1" x14ac:dyDescent="0.2">
      <c r="A40" s="1" t="s">
        <v>26</v>
      </c>
      <c r="C40" s="29"/>
      <c r="E40" s="10"/>
      <c r="H40" s="10"/>
      <c r="K40" s="10"/>
      <c r="N40" s="10"/>
      <c r="O40" s="20"/>
      <c r="P40" s="20"/>
      <c r="R40" s="20"/>
      <c r="S40" s="10"/>
    </row>
    <row r="41" spans="1:55" s="19" customFormat="1" x14ac:dyDescent="0.2">
      <c r="C41" s="29"/>
      <c r="E41" s="10"/>
      <c r="H41" s="10"/>
      <c r="K41" s="10"/>
      <c r="N41" s="10"/>
      <c r="O41" s="20"/>
      <c r="P41" s="20"/>
      <c r="R41" s="20"/>
      <c r="S41" s="10"/>
    </row>
    <row r="42" spans="1:55" s="19" customFormat="1" x14ac:dyDescent="0.2">
      <c r="C42" s="220"/>
      <c r="D42" s="623"/>
      <c r="E42" s="623"/>
      <c r="F42" s="623"/>
    </row>
    <row r="43" spans="1:55" s="19" customFormat="1" x14ac:dyDescent="0.2">
      <c r="C43" s="29"/>
      <c r="E43" s="10"/>
      <c r="H43" s="10"/>
      <c r="K43" s="10"/>
      <c r="N43" s="10"/>
      <c r="O43" s="20"/>
      <c r="P43" s="20"/>
      <c r="R43" s="20"/>
      <c r="S43" s="10"/>
    </row>
    <row r="44" spans="1:55" s="19" customFormat="1" x14ac:dyDescent="0.2">
      <c r="C44" s="29"/>
      <c r="D44" s="761"/>
      <c r="E44" s="761"/>
      <c r="F44" s="761"/>
      <c r="G44" s="761"/>
      <c r="H44" s="761"/>
      <c r="I44" s="761"/>
      <c r="J44" s="761"/>
      <c r="K44" s="761"/>
      <c r="L44" s="761"/>
      <c r="M44" s="761"/>
      <c r="N44" s="761"/>
      <c r="O44" s="761"/>
      <c r="P44" s="761"/>
      <c r="Q44" s="761"/>
      <c r="R44" s="761"/>
      <c r="S44" s="10"/>
    </row>
    <row r="45" spans="1:55" s="19" customFormat="1" x14ac:dyDescent="0.2">
      <c r="C45" s="29"/>
      <c r="E45" s="10"/>
    </row>
    <row r="46" spans="1:55" s="19" customFormat="1" x14ac:dyDescent="0.2">
      <c r="C46" s="29"/>
      <c r="E46" s="10"/>
      <c r="H46" s="10"/>
      <c r="K46" s="10"/>
      <c r="N46" s="10"/>
      <c r="O46" s="20"/>
      <c r="P46" s="20"/>
      <c r="R46" s="20"/>
      <c r="S46" s="10"/>
    </row>
    <row r="47" spans="1:55" s="19" customFormat="1" x14ac:dyDescent="0.2">
      <c r="C47" s="29"/>
      <c r="E47" s="10"/>
      <c r="H47" s="10"/>
      <c r="K47" s="10"/>
      <c r="N47" s="10"/>
      <c r="O47" s="20"/>
      <c r="P47" s="20"/>
      <c r="R47" s="20"/>
      <c r="S47" s="10"/>
    </row>
    <row r="48" spans="1:55" s="19" customFormat="1" x14ac:dyDescent="0.2">
      <c r="C48" s="29"/>
      <c r="E48" s="10"/>
      <c r="H48" s="10"/>
      <c r="K48" s="10"/>
      <c r="N48" s="10"/>
      <c r="O48" s="20"/>
      <c r="P48" s="20"/>
      <c r="R48" s="20"/>
      <c r="S48" s="10"/>
    </row>
    <row r="49" spans="3:19" s="19" customFormat="1" x14ac:dyDescent="0.2">
      <c r="C49" s="29"/>
      <c r="E49" s="10"/>
      <c r="H49" s="10"/>
      <c r="K49" s="10"/>
      <c r="N49" s="10"/>
      <c r="O49" s="20"/>
      <c r="P49" s="20"/>
      <c r="R49" s="20"/>
      <c r="S49" s="10"/>
    </row>
    <row r="50" spans="3:19" s="19" customFormat="1" x14ac:dyDescent="0.2">
      <c r="C50" s="29"/>
      <c r="E50" s="10"/>
      <c r="H50" s="10"/>
      <c r="K50" s="10"/>
      <c r="N50" s="10"/>
      <c r="O50" s="20"/>
      <c r="P50" s="20"/>
      <c r="R50" s="20"/>
      <c r="S50" s="10"/>
    </row>
    <row r="51" spans="3:19" s="19" customFormat="1" x14ac:dyDescent="0.2">
      <c r="C51" s="29"/>
      <c r="E51" s="10"/>
      <c r="H51" s="10"/>
      <c r="K51" s="10"/>
      <c r="N51" s="10"/>
      <c r="O51" s="20"/>
      <c r="P51" s="20"/>
      <c r="R51" s="20"/>
      <c r="S51" s="10"/>
    </row>
    <row r="52" spans="3:19" s="19" customFormat="1" x14ac:dyDescent="0.2">
      <c r="C52" s="29"/>
      <c r="E52" s="10"/>
      <c r="H52" s="10"/>
      <c r="K52" s="10"/>
      <c r="N52" s="10"/>
      <c r="O52" s="20"/>
      <c r="P52" s="20"/>
      <c r="R52" s="20"/>
      <c r="S52" s="10"/>
    </row>
    <row r="53" spans="3:19" s="19" customFormat="1" x14ac:dyDescent="0.2">
      <c r="C53" s="29"/>
      <c r="E53" s="10"/>
      <c r="H53" s="10"/>
      <c r="K53" s="10"/>
      <c r="N53" s="10"/>
      <c r="O53" s="20"/>
      <c r="P53" s="20"/>
      <c r="R53" s="20"/>
      <c r="S53" s="10"/>
    </row>
    <row r="54" spans="3:19" s="19" customFormat="1" x14ac:dyDescent="0.2">
      <c r="C54" s="29"/>
      <c r="E54" s="10"/>
      <c r="H54" s="10"/>
      <c r="K54" s="10"/>
      <c r="N54" s="10"/>
      <c r="O54" s="20"/>
      <c r="P54" s="20"/>
      <c r="R54" s="20"/>
      <c r="S54" s="10"/>
    </row>
    <row r="55" spans="3:19" s="19" customFormat="1" x14ac:dyDescent="0.2">
      <c r="C55" s="29"/>
      <c r="E55" s="10"/>
      <c r="H55" s="10"/>
      <c r="K55" s="10"/>
      <c r="N55" s="10"/>
      <c r="O55" s="20"/>
      <c r="P55" s="20"/>
      <c r="R55" s="20"/>
      <c r="S55" s="10"/>
    </row>
    <row r="56" spans="3:19" s="19" customFormat="1" x14ac:dyDescent="0.2">
      <c r="C56" s="29"/>
      <c r="E56" s="10"/>
      <c r="H56" s="10"/>
      <c r="K56" s="10"/>
      <c r="N56" s="10"/>
      <c r="O56" s="20"/>
      <c r="P56" s="20"/>
      <c r="R56" s="20"/>
      <c r="S56" s="10"/>
    </row>
    <row r="57" spans="3:19" s="19" customFormat="1" x14ac:dyDescent="0.2">
      <c r="C57" s="29"/>
      <c r="E57" s="10"/>
      <c r="H57" s="10"/>
      <c r="K57" s="10"/>
      <c r="N57" s="10"/>
      <c r="O57" s="20"/>
      <c r="P57" s="20"/>
      <c r="R57" s="20"/>
      <c r="S57" s="10"/>
    </row>
    <row r="58" spans="3:19" s="19" customFormat="1" x14ac:dyDescent="0.2">
      <c r="C58" s="29"/>
      <c r="E58" s="10"/>
      <c r="H58" s="10"/>
      <c r="K58" s="10"/>
      <c r="N58" s="10"/>
      <c r="O58" s="20"/>
      <c r="P58" s="20"/>
      <c r="R58" s="20"/>
      <c r="S58" s="10"/>
    </row>
    <row r="59" spans="3:19" s="19" customFormat="1" x14ac:dyDescent="0.2">
      <c r="C59" s="29"/>
      <c r="E59" s="10"/>
      <c r="H59" s="10"/>
      <c r="K59" s="10"/>
      <c r="N59" s="10"/>
      <c r="O59" s="20"/>
      <c r="P59" s="20"/>
      <c r="R59" s="20"/>
      <c r="S59" s="10"/>
    </row>
    <row r="60" spans="3:19" s="19" customFormat="1" x14ac:dyDescent="0.2">
      <c r="C60" s="29"/>
      <c r="E60" s="10"/>
      <c r="H60" s="10"/>
      <c r="K60" s="10"/>
      <c r="N60" s="10"/>
      <c r="O60" s="20"/>
      <c r="P60" s="20"/>
      <c r="R60" s="20"/>
      <c r="S60" s="10"/>
    </row>
    <row r="61" spans="3:19" s="19" customFormat="1" x14ac:dyDescent="0.2">
      <c r="C61" s="29"/>
      <c r="E61" s="10"/>
      <c r="H61" s="10"/>
      <c r="K61" s="10"/>
      <c r="N61" s="10"/>
      <c r="O61" s="20"/>
      <c r="P61" s="20"/>
      <c r="R61" s="20"/>
      <c r="S61" s="10"/>
    </row>
    <row r="62" spans="3:19" s="19" customFormat="1" x14ac:dyDescent="0.2">
      <c r="C62" s="29"/>
      <c r="E62" s="10"/>
      <c r="H62" s="10"/>
      <c r="K62" s="10"/>
      <c r="N62" s="10"/>
      <c r="O62" s="20"/>
      <c r="P62" s="20"/>
      <c r="R62" s="20"/>
      <c r="S62" s="10"/>
    </row>
    <row r="63" spans="3:19" s="19" customFormat="1" x14ac:dyDescent="0.2">
      <c r="C63" s="29"/>
      <c r="E63" s="10"/>
      <c r="H63" s="10"/>
      <c r="K63" s="10"/>
      <c r="N63" s="10"/>
      <c r="O63" s="20"/>
      <c r="P63" s="20"/>
      <c r="R63" s="20"/>
      <c r="S63" s="10"/>
    </row>
    <row r="64" spans="3:19" s="19" customFormat="1" x14ac:dyDescent="0.2">
      <c r="C64" s="29"/>
      <c r="E64" s="10"/>
      <c r="H64" s="10"/>
      <c r="K64" s="10"/>
      <c r="N64" s="10"/>
      <c r="O64" s="20"/>
      <c r="P64" s="20"/>
      <c r="R64" s="20"/>
      <c r="S64" s="10"/>
    </row>
    <row r="65" spans="3:19" s="19" customFormat="1" x14ac:dyDescent="0.2">
      <c r="C65" s="29"/>
      <c r="E65" s="10"/>
      <c r="H65" s="10"/>
      <c r="K65" s="10"/>
      <c r="N65" s="10"/>
      <c r="O65" s="20"/>
      <c r="P65" s="20"/>
      <c r="R65" s="20"/>
      <c r="S65" s="10"/>
    </row>
    <row r="66" spans="3:19" s="19" customFormat="1" x14ac:dyDescent="0.2">
      <c r="C66" s="29"/>
      <c r="E66" s="10"/>
      <c r="H66" s="10"/>
      <c r="K66" s="10"/>
      <c r="N66" s="10"/>
      <c r="O66" s="20"/>
      <c r="P66" s="20"/>
      <c r="R66" s="20"/>
      <c r="S66" s="10"/>
    </row>
    <row r="67" spans="3:19" s="19" customFormat="1" x14ac:dyDescent="0.2">
      <c r="C67" s="29"/>
      <c r="E67" s="10"/>
      <c r="H67" s="10"/>
      <c r="K67" s="10"/>
      <c r="N67" s="10"/>
      <c r="O67" s="20"/>
      <c r="P67" s="20"/>
      <c r="R67" s="20"/>
      <c r="S67" s="10"/>
    </row>
    <row r="68" spans="3:19" s="19" customFormat="1" x14ac:dyDescent="0.2">
      <c r="C68" s="29"/>
      <c r="E68" s="10"/>
      <c r="H68" s="10"/>
      <c r="K68" s="10"/>
      <c r="N68" s="10"/>
      <c r="O68" s="20"/>
      <c r="P68" s="20"/>
      <c r="R68" s="20"/>
      <c r="S68" s="10"/>
    </row>
    <row r="69" spans="3:19" s="19" customFormat="1" x14ac:dyDescent="0.2">
      <c r="C69" s="29"/>
      <c r="E69" s="10"/>
      <c r="H69" s="10"/>
      <c r="K69" s="10"/>
      <c r="N69" s="10"/>
      <c r="O69" s="20"/>
      <c r="P69" s="20"/>
      <c r="R69" s="20"/>
      <c r="S69" s="10"/>
    </row>
    <row r="70" spans="3:19" s="19" customFormat="1" x14ac:dyDescent="0.2">
      <c r="C70" s="29"/>
      <c r="E70" s="10"/>
      <c r="H70" s="10"/>
      <c r="K70" s="10"/>
      <c r="N70" s="10"/>
      <c r="O70" s="20"/>
      <c r="P70" s="20"/>
      <c r="R70" s="20"/>
      <c r="S70" s="10"/>
    </row>
    <row r="71" spans="3:19" s="19" customFormat="1" x14ac:dyDescent="0.2">
      <c r="C71" s="29"/>
      <c r="E71" s="10"/>
      <c r="H71" s="10"/>
      <c r="K71" s="10"/>
      <c r="N71" s="10"/>
      <c r="O71" s="20"/>
      <c r="P71" s="20"/>
      <c r="R71" s="20"/>
      <c r="S71" s="10"/>
    </row>
    <row r="72" spans="3:19" s="19" customFormat="1" x14ac:dyDescent="0.2">
      <c r="C72" s="29"/>
      <c r="E72" s="10"/>
      <c r="H72" s="10"/>
      <c r="K72" s="10"/>
      <c r="N72" s="10"/>
      <c r="O72" s="20"/>
      <c r="P72" s="20"/>
      <c r="R72" s="20"/>
      <c r="S72" s="10"/>
    </row>
    <row r="73" spans="3:19" s="19" customFormat="1" x14ac:dyDescent="0.2">
      <c r="C73" s="29"/>
      <c r="E73" s="10"/>
      <c r="H73" s="10"/>
      <c r="K73" s="10"/>
      <c r="N73" s="10"/>
      <c r="O73" s="20"/>
      <c r="P73" s="20"/>
      <c r="R73" s="20"/>
      <c r="S73" s="10"/>
    </row>
    <row r="74" spans="3:19" s="19" customFormat="1" x14ac:dyDescent="0.2">
      <c r="C74" s="29"/>
      <c r="E74" s="10"/>
      <c r="H74" s="10"/>
      <c r="K74" s="10"/>
      <c r="N74" s="10"/>
      <c r="O74" s="20"/>
      <c r="P74" s="20"/>
      <c r="R74" s="20"/>
      <c r="S74" s="10"/>
    </row>
    <row r="75" spans="3:19" s="19" customFormat="1" x14ac:dyDescent="0.2">
      <c r="C75" s="29"/>
      <c r="E75" s="10"/>
      <c r="H75" s="10"/>
      <c r="K75" s="10"/>
      <c r="N75" s="10"/>
      <c r="O75" s="20"/>
      <c r="P75" s="20"/>
      <c r="R75" s="20"/>
      <c r="S75" s="10"/>
    </row>
    <row r="76" spans="3:19" s="19" customFormat="1" x14ac:dyDescent="0.2">
      <c r="C76" s="29"/>
      <c r="E76" s="10"/>
      <c r="H76" s="10"/>
      <c r="K76" s="10"/>
      <c r="N76" s="10"/>
      <c r="O76" s="20"/>
      <c r="P76" s="20"/>
      <c r="R76" s="20"/>
      <c r="S76" s="10"/>
    </row>
    <row r="77" spans="3:19" s="19" customFormat="1" x14ac:dyDescent="0.2">
      <c r="C77" s="29"/>
      <c r="E77" s="10"/>
      <c r="H77" s="10"/>
      <c r="K77" s="10"/>
      <c r="N77" s="10"/>
      <c r="O77" s="20"/>
      <c r="P77" s="20"/>
      <c r="R77" s="20"/>
      <c r="S77" s="10"/>
    </row>
    <row r="78" spans="3:19" s="19" customFormat="1" x14ac:dyDescent="0.2">
      <c r="C78" s="29"/>
      <c r="E78" s="10"/>
      <c r="H78" s="10"/>
      <c r="K78" s="10"/>
      <c r="N78" s="10"/>
      <c r="O78" s="20"/>
      <c r="P78" s="20"/>
      <c r="R78" s="20"/>
      <c r="S78" s="10"/>
    </row>
    <row r="79" spans="3:19" s="19" customFormat="1" x14ac:dyDescent="0.2">
      <c r="C79" s="29"/>
      <c r="E79" s="10"/>
      <c r="H79" s="10"/>
      <c r="K79" s="10"/>
      <c r="N79" s="10"/>
      <c r="O79" s="20"/>
      <c r="P79" s="20"/>
      <c r="R79" s="20"/>
      <c r="S79" s="10"/>
    </row>
    <row r="80" spans="3:19" s="19" customFormat="1" x14ac:dyDescent="0.2">
      <c r="C80" s="29"/>
      <c r="E80" s="10"/>
      <c r="H80" s="10"/>
      <c r="K80" s="10"/>
      <c r="N80" s="10"/>
      <c r="O80" s="20"/>
      <c r="P80" s="20"/>
      <c r="R80" s="20"/>
      <c r="S80" s="10"/>
    </row>
    <row r="81" spans="3:19" s="19" customFormat="1" x14ac:dyDescent="0.2">
      <c r="C81" s="29"/>
      <c r="E81" s="10"/>
      <c r="H81" s="10"/>
      <c r="K81" s="10"/>
      <c r="N81" s="10"/>
      <c r="O81" s="20"/>
      <c r="P81" s="20"/>
      <c r="R81" s="20"/>
      <c r="S81" s="10"/>
    </row>
    <row r="82" spans="3:19" s="19" customFormat="1" x14ac:dyDescent="0.2">
      <c r="C82" s="29"/>
      <c r="E82" s="10"/>
      <c r="H82" s="10"/>
      <c r="K82" s="10"/>
      <c r="N82" s="10"/>
      <c r="O82" s="20"/>
      <c r="P82" s="20"/>
      <c r="R82" s="20"/>
      <c r="S82" s="10"/>
    </row>
    <row r="83" spans="3:19" s="19" customFormat="1" x14ac:dyDescent="0.2">
      <c r="C83" s="29"/>
      <c r="E83" s="10"/>
      <c r="H83" s="10"/>
      <c r="K83" s="10"/>
      <c r="N83" s="10"/>
      <c r="O83" s="20"/>
      <c r="P83" s="20"/>
      <c r="R83" s="20"/>
      <c r="S83" s="10"/>
    </row>
    <row r="84" spans="3:19" s="19" customFormat="1" x14ac:dyDescent="0.2">
      <c r="C84" s="29"/>
      <c r="E84" s="10"/>
      <c r="H84" s="10"/>
      <c r="K84" s="10"/>
      <c r="N84" s="10"/>
      <c r="O84" s="20"/>
      <c r="P84" s="20"/>
      <c r="R84" s="20"/>
      <c r="S84" s="10"/>
    </row>
    <row r="85" spans="3:19" s="19" customFormat="1" x14ac:dyDescent="0.2">
      <c r="C85" s="29"/>
      <c r="E85" s="10"/>
      <c r="H85" s="10"/>
      <c r="K85" s="10"/>
      <c r="N85" s="10"/>
      <c r="O85" s="20"/>
      <c r="P85" s="20"/>
      <c r="R85" s="20"/>
      <c r="S85" s="10"/>
    </row>
    <row r="86" spans="3:19" s="19" customFormat="1" x14ac:dyDescent="0.2">
      <c r="C86" s="29"/>
      <c r="E86" s="10"/>
      <c r="H86" s="10"/>
      <c r="K86" s="10"/>
      <c r="N86" s="10"/>
      <c r="O86" s="20"/>
      <c r="P86" s="20"/>
      <c r="R86" s="20"/>
      <c r="S86" s="10"/>
    </row>
    <row r="87" spans="3:19" s="19" customFormat="1" x14ac:dyDescent="0.2">
      <c r="C87" s="29"/>
      <c r="E87" s="10"/>
      <c r="H87" s="10"/>
      <c r="K87" s="10"/>
      <c r="N87" s="10"/>
      <c r="O87" s="20"/>
      <c r="P87" s="20"/>
      <c r="R87" s="20"/>
      <c r="S87" s="10"/>
    </row>
    <row r="88" spans="3:19" s="19" customFormat="1" x14ac:dyDescent="0.2">
      <c r="C88" s="29"/>
      <c r="E88" s="10"/>
      <c r="H88" s="10"/>
      <c r="K88" s="10"/>
      <c r="N88" s="10"/>
      <c r="O88" s="20"/>
      <c r="P88" s="20"/>
      <c r="R88" s="20"/>
      <c r="S88" s="10"/>
    </row>
    <row r="89" spans="3:19" s="19" customFormat="1" x14ac:dyDescent="0.2">
      <c r="C89" s="29"/>
      <c r="E89" s="10"/>
      <c r="H89" s="10"/>
      <c r="K89" s="10"/>
      <c r="N89" s="10"/>
      <c r="O89" s="20"/>
      <c r="P89" s="20"/>
      <c r="R89" s="20"/>
      <c r="S89" s="10"/>
    </row>
    <row r="90" spans="3:19" s="19" customFormat="1" x14ac:dyDescent="0.2">
      <c r="C90" s="29"/>
      <c r="E90" s="10"/>
      <c r="H90" s="10"/>
      <c r="K90" s="10"/>
      <c r="N90" s="10"/>
      <c r="O90" s="20"/>
      <c r="P90" s="20"/>
      <c r="R90" s="20"/>
      <c r="S90" s="10"/>
    </row>
    <row r="91" spans="3:19" s="19" customFormat="1" x14ac:dyDescent="0.2">
      <c r="C91" s="29"/>
      <c r="E91" s="10"/>
      <c r="H91" s="10"/>
      <c r="K91" s="10"/>
      <c r="N91" s="10"/>
      <c r="O91" s="20"/>
      <c r="P91" s="20"/>
      <c r="R91" s="20"/>
      <c r="S91" s="10"/>
    </row>
    <row r="92" spans="3:19" s="19" customFormat="1" x14ac:dyDescent="0.2">
      <c r="C92" s="29"/>
      <c r="E92" s="10"/>
      <c r="H92" s="10"/>
      <c r="K92" s="10"/>
      <c r="N92" s="10"/>
      <c r="O92" s="20"/>
      <c r="P92" s="20"/>
      <c r="R92" s="20"/>
      <c r="S92" s="10"/>
    </row>
    <row r="93" spans="3:19" s="19" customFormat="1" x14ac:dyDescent="0.2">
      <c r="C93" s="29"/>
      <c r="E93" s="10"/>
      <c r="H93" s="10"/>
      <c r="K93" s="10"/>
      <c r="N93" s="10"/>
      <c r="O93" s="20"/>
      <c r="P93" s="20"/>
      <c r="R93" s="20"/>
      <c r="S93" s="10"/>
    </row>
    <row r="94" spans="3:19" s="19" customFormat="1" x14ac:dyDescent="0.2">
      <c r="C94" s="29"/>
      <c r="E94" s="10"/>
      <c r="H94" s="10"/>
      <c r="K94" s="10"/>
      <c r="N94" s="10"/>
      <c r="O94" s="20"/>
      <c r="P94" s="20"/>
      <c r="R94" s="20"/>
      <c r="S94" s="10"/>
    </row>
    <row r="95" spans="3:19" s="19" customFormat="1" x14ac:dyDescent="0.2">
      <c r="C95" s="29"/>
      <c r="E95" s="10"/>
      <c r="H95" s="10"/>
      <c r="K95" s="10"/>
      <c r="N95" s="10"/>
      <c r="O95" s="20"/>
      <c r="P95" s="20"/>
      <c r="R95" s="20"/>
      <c r="S95" s="10"/>
    </row>
    <row r="96" spans="3:19" s="19" customFormat="1" x14ac:dyDescent="0.2">
      <c r="C96" s="29"/>
      <c r="E96" s="10"/>
      <c r="H96" s="10"/>
      <c r="K96" s="10"/>
      <c r="N96" s="10"/>
      <c r="O96" s="20"/>
      <c r="P96" s="20"/>
      <c r="R96" s="20"/>
      <c r="S96" s="10"/>
    </row>
    <row r="97" spans="3:19" s="19" customFormat="1" x14ac:dyDescent="0.2">
      <c r="C97" s="29"/>
      <c r="E97" s="10"/>
      <c r="H97" s="10"/>
      <c r="K97" s="10"/>
      <c r="N97" s="10"/>
      <c r="O97" s="20"/>
      <c r="P97" s="20"/>
      <c r="R97" s="20"/>
      <c r="S97" s="10"/>
    </row>
    <row r="98" spans="3:19" s="19" customFormat="1" x14ac:dyDescent="0.2">
      <c r="C98" s="29"/>
      <c r="E98" s="10"/>
      <c r="H98" s="10"/>
      <c r="K98" s="10"/>
      <c r="N98" s="10"/>
      <c r="O98" s="20"/>
      <c r="P98" s="20"/>
      <c r="R98" s="20"/>
      <c r="S98" s="10"/>
    </row>
    <row r="99" spans="3:19" s="19" customFormat="1" x14ac:dyDescent="0.2">
      <c r="C99" s="29"/>
      <c r="E99" s="10"/>
      <c r="H99" s="10"/>
      <c r="K99" s="10"/>
      <c r="N99" s="10"/>
      <c r="O99" s="20"/>
      <c r="P99" s="20"/>
      <c r="R99" s="20"/>
      <c r="S99" s="10"/>
    </row>
    <row r="100" spans="3:19" s="19" customFormat="1" x14ac:dyDescent="0.2">
      <c r="C100" s="29"/>
      <c r="E100" s="10"/>
      <c r="H100" s="10"/>
      <c r="K100" s="10"/>
      <c r="N100" s="10"/>
      <c r="O100" s="20"/>
      <c r="P100" s="20"/>
      <c r="R100" s="20"/>
      <c r="S100" s="10"/>
    </row>
    <row r="101" spans="3:19" s="19" customFormat="1" x14ac:dyDescent="0.2">
      <c r="C101" s="29"/>
      <c r="E101" s="10"/>
      <c r="H101" s="10"/>
      <c r="K101" s="10"/>
      <c r="N101" s="10"/>
      <c r="O101" s="20"/>
      <c r="P101" s="20"/>
      <c r="R101" s="20"/>
      <c r="S101" s="10"/>
    </row>
    <row r="102" spans="3:19" s="19" customFormat="1" x14ac:dyDescent="0.2">
      <c r="C102" s="29"/>
      <c r="E102" s="10"/>
      <c r="H102" s="10"/>
      <c r="K102" s="10"/>
      <c r="N102" s="10"/>
      <c r="O102" s="20"/>
      <c r="P102" s="20"/>
      <c r="R102" s="20"/>
      <c r="S102" s="10"/>
    </row>
    <row r="103" spans="3:19" s="19" customFormat="1" x14ac:dyDescent="0.2">
      <c r="C103" s="29"/>
      <c r="E103" s="10"/>
      <c r="H103" s="10"/>
      <c r="K103" s="10"/>
      <c r="N103" s="10"/>
      <c r="O103" s="20"/>
      <c r="P103" s="20"/>
      <c r="R103" s="20"/>
      <c r="S103" s="10"/>
    </row>
    <row r="104" spans="3:19" s="19" customFormat="1" x14ac:dyDescent="0.2">
      <c r="C104" s="29"/>
      <c r="E104" s="10"/>
      <c r="H104" s="10"/>
      <c r="K104" s="10"/>
      <c r="N104" s="10"/>
      <c r="O104" s="20"/>
      <c r="P104" s="20"/>
      <c r="R104" s="20"/>
      <c r="S104" s="10"/>
    </row>
    <row r="105" spans="3:19" s="19" customFormat="1" x14ac:dyDescent="0.2">
      <c r="C105" s="29"/>
      <c r="E105" s="10"/>
      <c r="H105" s="10"/>
      <c r="K105" s="10"/>
      <c r="N105" s="10"/>
      <c r="O105" s="20"/>
      <c r="P105" s="20"/>
      <c r="R105" s="20"/>
      <c r="S105" s="10"/>
    </row>
    <row r="106" spans="3:19" s="19" customFormat="1" x14ac:dyDescent="0.2">
      <c r="C106" s="29"/>
      <c r="E106" s="10"/>
      <c r="H106" s="10"/>
      <c r="K106" s="10"/>
      <c r="N106" s="10"/>
      <c r="O106" s="20"/>
      <c r="P106" s="20"/>
      <c r="R106" s="20"/>
      <c r="S106" s="10"/>
    </row>
    <row r="107" spans="3:19" s="19" customFormat="1" x14ac:dyDescent="0.2">
      <c r="C107" s="29"/>
      <c r="E107" s="10"/>
      <c r="H107" s="10"/>
      <c r="K107" s="10"/>
      <c r="N107" s="10"/>
      <c r="O107" s="20"/>
      <c r="P107" s="20"/>
      <c r="R107" s="20"/>
      <c r="S107" s="10"/>
    </row>
    <row r="108" spans="3:19" s="19" customFormat="1" x14ac:dyDescent="0.2">
      <c r="C108" s="29"/>
      <c r="E108" s="10"/>
      <c r="H108" s="10"/>
      <c r="K108" s="10"/>
      <c r="N108" s="10"/>
      <c r="O108" s="20"/>
      <c r="P108" s="20"/>
      <c r="R108" s="20"/>
      <c r="S108" s="10"/>
    </row>
    <row r="109" spans="3:19" s="19" customFormat="1" x14ac:dyDescent="0.2">
      <c r="C109" s="29"/>
      <c r="E109" s="10"/>
      <c r="H109" s="10"/>
      <c r="K109" s="10"/>
      <c r="N109" s="10"/>
      <c r="O109" s="20"/>
      <c r="P109" s="20"/>
      <c r="R109" s="20"/>
      <c r="S109" s="10"/>
    </row>
    <row r="110" spans="3:19" s="19" customFormat="1" x14ac:dyDescent="0.2">
      <c r="C110" s="29"/>
      <c r="E110" s="10"/>
      <c r="H110" s="10"/>
      <c r="K110" s="10"/>
      <c r="N110" s="10"/>
      <c r="O110" s="20"/>
      <c r="P110" s="20"/>
      <c r="R110" s="20"/>
      <c r="S110" s="10"/>
    </row>
    <row r="111" spans="3:19" s="19" customFormat="1" x14ac:dyDescent="0.2">
      <c r="C111" s="29"/>
      <c r="E111" s="10"/>
      <c r="H111" s="10"/>
      <c r="K111" s="10"/>
      <c r="N111" s="10"/>
      <c r="O111" s="20"/>
      <c r="P111" s="20"/>
      <c r="R111" s="20"/>
      <c r="S111" s="10"/>
    </row>
    <row r="112" spans="3:19" s="19" customFormat="1" x14ac:dyDescent="0.2">
      <c r="C112" s="29"/>
      <c r="E112" s="10"/>
      <c r="H112" s="10"/>
      <c r="K112" s="10"/>
      <c r="N112" s="10"/>
      <c r="O112" s="20"/>
      <c r="P112" s="20"/>
      <c r="R112" s="20"/>
      <c r="S112" s="10"/>
    </row>
    <row r="113" spans="3:19" s="19" customFormat="1" x14ac:dyDescent="0.2">
      <c r="C113" s="29"/>
      <c r="E113" s="10"/>
      <c r="H113" s="10"/>
      <c r="K113" s="10"/>
      <c r="N113" s="10"/>
      <c r="O113" s="20"/>
      <c r="P113" s="20"/>
      <c r="R113" s="20"/>
      <c r="S113" s="10"/>
    </row>
    <row r="114" spans="3:19" s="19" customFormat="1" x14ac:dyDescent="0.2">
      <c r="C114" s="29"/>
      <c r="E114" s="10"/>
      <c r="H114" s="10"/>
      <c r="K114" s="10"/>
      <c r="N114" s="10"/>
      <c r="O114" s="20"/>
      <c r="P114" s="20"/>
      <c r="R114" s="20"/>
      <c r="S114" s="10"/>
    </row>
    <row r="115" spans="3:19" s="19" customFormat="1" x14ac:dyDescent="0.2">
      <c r="C115" s="29"/>
      <c r="E115" s="10"/>
      <c r="H115" s="10"/>
      <c r="K115" s="10"/>
      <c r="N115" s="10"/>
      <c r="O115" s="20"/>
      <c r="P115" s="20"/>
      <c r="R115" s="20"/>
      <c r="S115" s="10"/>
    </row>
    <row r="116" spans="3:19" s="19" customFormat="1" x14ac:dyDescent="0.2">
      <c r="C116" s="29"/>
      <c r="E116" s="10"/>
      <c r="H116" s="10"/>
      <c r="K116" s="10"/>
      <c r="N116" s="10"/>
      <c r="O116" s="20"/>
      <c r="P116" s="20"/>
      <c r="R116" s="20"/>
      <c r="S116" s="10"/>
    </row>
    <row r="117" spans="3:19" s="19" customFormat="1" x14ac:dyDescent="0.2">
      <c r="C117" s="29"/>
      <c r="E117" s="10"/>
      <c r="H117" s="10"/>
      <c r="K117" s="10"/>
      <c r="N117" s="10"/>
      <c r="O117" s="20"/>
      <c r="P117" s="20"/>
      <c r="R117" s="20"/>
      <c r="S117" s="10"/>
    </row>
    <row r="118" spans="3:19" s="19" customFormat="1" x14ac:dyDescent="0.2">
      <c r="C118" s="29"/>
      <c r="E118" s="10"/>
      <c r="H118" s="10"/>
      <c r="K118" s="10"/>
      <c r="N118" s="10"/>
      <c r="O118" s="20"/>
      <c r="P118" s="20"/>
      <c r="R118" s="20"/>
      <c r="S118" s="10"/>
    </row>
    <row r="119" spans="3:19" s="19" customFormat="1" x14ac:dyDescent="0.2">
      <c r="C119" s="29"/>
      <c r="E119" s="10"/>
      <c r="H119" s="10"/>
      <c r="K119" s="10"/>
      <c r="N119" s="10"/>
      <c r="O119" s="20"/>
      <c r="P119" s="20"/>
      <c r="R119" s="20"/>
      <c r="S119" s="10"/>
    </row>
    <row r="120" spans="3:19" s="19" customFormat="1" x14ac:dyDescent="0.2">
      <c r="C120" s="29"/>
      <c r="E120" s="10"/>
      <c r="H120" s="10"/>
      <c r="K120" s="10"/>
      <c r="N120" s="10"/>
      <c r="O120" s="20"/>
      <c r="P120" s="20"/>
      <c r="R120" s="20"/>
      <c r="S120" s="10"/>
    </row>
    <row r="121" spans="3:19" s="19" customFormat="1" x14ac:dyDescent="0.2">
      <c r="C121" s="29"/>
      <c r="E121" s="10"/>
      <c r="H121" s="10"/>
      <c r="K121" s="10"/>
      <c r="N121" s="10"/>
      <c r="O121" s="20"/>
      <c r="P121" s="20"/>
      <c r="R121" s="20"/>
      <c r="S121" s="10"/>
    </row>
    <row r="122" spans="3:19" s="19" customFormat="1" x14ac:dyDescent="0.2">
      <c r="C122" s="29"/>
      <c r="E122" s="10"/>
      <c r="H122" s="10"/>
      <c r="K122" s="10"/>
      <c r="N122" s="10"/>
      <c r="O122" s="20"/>
      <c r="P122" s="20"/>
      <c r="R122" s="20"/>
      <c r="S122" s="10"/>
    </row>
    <row r="123" spans="3:19" s="19" customFormat="1" x14ac:dyDescent="0.2">
      <c r="C123" s="29"/>
      <c r="E123" s="10"/>
      <c r="H123" s="10"/>
      <c r="K123" s="10"/>
      <c r="N123" s="10"/>
      <c r="O123" s="20"/>
      <c r="P123" s="20"/>
      <c r="R123" s="20"/>
      <c r="S123" s="10"/>
    </row>
    <row r="124" spans="3:19" s="19" customFormat="1" x14ac:dyDescent="0.2">
      <c r="C124" s="29"/>
      <c r="E124" s="10"/>
      <c r="H124" s="10"/>
      <c r="K124" s="10"/>
      <c r="N124" s="10"/>
      <c r="O124" s="20"/>
      <c r="P124" s="20"/>
      <c r="R124" s="20"/>
      <c r="S124" s="10"/>
    </row>
    <row r="125" spans="3:19" s="19" customFormat="1" x14ac:dyDescent="0.2">
      <c r="C125" s="29"/>
      <c r="E125" s="10"/>
      <c r="H125" s="10"/>
      <c r="K125" s="10"/>
      <c r="N125" s="10"/>
      <c r="O125" s="20"/>
      <c r="P125" s="20"/>
      <c r="R125" s="20"/>
      <c r="S125" s="10"/>
    </row>
    <row r="126" spans="3:19" s="19" customFormat="1" x14ac:dyDescent="0.2">
      <c r="C126" s="29"/>
      <c r="E126" s="10"/>
      <c r="H126" s="10"/>
      <c r="K126" s="10"/>
      <c r="N126" s="10"/>
      <c r="O126" s="20"/>
      <c r="P126" s="20"/>
      <c r="R126" s="20"/>
      <c r="S126" s="10"/>
    </row>
    <row r="127" spans="3:19" s="19" customFormat="1" x14ac:dyDescent="0.2">
      <c r="C127" s="29"/>
      <c r="E127" s="10"/>
      <c r="H127" s="10"/>
      <c r="K127" s="10"/>
      <c r="N127" s="10"/>
      <c r="O127" s="20"/>
      <c r="P127" s="20"/>
      <c r="R127" s="20"/>
      <c r="S127" s="10"/>
    </row>
    <row r="128" spans="3:19" s="19" customFormat="1" x14ac:dyDescent="0.2">
      <c r="C128" s="29"/>
      <c r="E128" s="10"/>
      <c r="H128" s="10"/>
      <c r="K128" s="10"/>
      <c r="N128" s="10"/>
      <c r="O128" s="20"/>
      <c r="P128" s="20"/>
      <c r="R128" s="20"/>
      <c r="S128" s="10"/>
    </row>
    <row r="129" spans="3:19" s="19" customFormat="1" x14ac:dyDescent="0.2">
      <c r="C129" s="29"/>
      <c r="E129" s="10"/>
      <c r="H129" s="10"/>
      <c r="K129" s="10"/>
      <c r="N129" s="10"/>
      <c r="O129" s="20"/>
      <c r="P129" s="20"/>
      <c r="R129" s="20"/>
      <c r="S129" s="10"/>
    </row>
    <row r="130" spans="3:19" s="19" customFormat="1" x14ac:dyDescent="0.2">
      <c r="C130" s="29"/>
      <c r="E130" s="10"/>
      <c r="H130" s="10"/>
      <c r="K130" s="10"/>
      <c r="N130" s="10"/>
      <c r="O130" s="20"/>
      <c r="P130" s="20"/>
      <c r="R130" s="20"/>
      <c r="S130" s="10"/>
    </row>
    <row r="131" spans="3:19" s="19" customFormat="1" x14ac:dyDescent="0.2">
      <c r="C131" s="29"/>
      <c r="E131" s="10"/>
      <c r="H131" s="10"/>
      <c r="K131" s="10"/>
      <c r="N131" s="10"/>
      <c r="O131" s="20"/>
      <c r="P131" s="20"/>
      <c r="R131" s="20"/>
      <c r="S131" s="10"/>
    </row>
    <row r="132" spans="3:19" s="19" customFormat="1" x14ac:dyDescent="0.2">
      <c r="C132" s="29"/>
      <c r="E132" s="10"/>
      <c r="H132" s="10"/>
      <c r="K132" s="10"/>
      <c r="N132" s="10"/>
      <c r="O132" s="20"/>
      <c r="P132" s="20"/>
      <c r="R132" s="20"/>
      <c r="S132" s="10"/>
    </row>
    <row r="133" spans="3:19" s="19" customFormat="1" x14ac:dyDescent="0.2">
      <c r="C133" s="29"/>
      <c r="E133" s="10"/>
      <c r="H133" s="10"/>
      <c r="K133" s="10"/>
      <c r="N133" s="10"/>
      <c r="O133" s="20"/>
      <c r="P133" s="20"/>
      <c r="R133" s="20"/>
      <c r="S133" s="10"/>
    </row>
    <row r="134" spans="3:19" s="19" customFormat="1" x14ac:dyDescent="0.2">
      <c r="C134" s="29"/>
      <c r="E134" s="10"/>
      <c r="H134" s="10"/>
      <c r="K134" s="10"/>
      <c r="N134" s="10"/>
      <c r="O134" s="20"/>
      <c r="P134" s="20"/>
      <c r="R134" s="20"/>
      <c r="S134" s="10"/>
    </row>
    <row r="135" spans="3:19" s="19" customFormat="1" x14ac:dyDescent="0.2">
      <c r="C135" s="29"/>
      <c r="E135" s="10"/>
      <c r="H135" s="10"/>
      <c r="K135" s="10"/>
      <c r="N135" s="10"/>
      <c r="O135" s="20"/>
      <c r="P135" s="20"/>
      <c r="R135" s="20"/>
      <c r="S135" s="10"/>
    </row>
    <row r="136" spans="3:19" s="19" customFormat="1" x14ac:dyDescent="0.2">
      <c r="C136" s="29"/>
      <c r="E136" s="10"/>
      <c r="H136" s="10"/>
      <c r="K136" s="10"/>
      <c r="N136" s="10"/>
      <c r="O136" s="20"/>
      <c r="P136" s="20"/>
      <c r="R136" s="20"/>
      <c r="S136" s="10"/>
    </row>
    <row r="137" spans="3:19" s="19" customFormat="1" x14ac:dyDescent="0.2">
      <c r="C137" s="29"/>
      <c r="E137" s="10"/>
      <c r="H137" s="10"/>
      <c r="K137" s="10"/>
      <c r="N137" s="10"/>
      <c r="O137" s="20"/>
      <c r="P137" s="20"/>
      <c r="R137" s="20"/>
      <c r="S137" s="10"/>
    </row>
    <row r="138" spans="3:19" s="19" customFormat="1" x14ac:dyDescent="0.2">
      <c r="C138" s="29"/>
      <c r="E138" s="10"/>
      <c r="H138" s="10"/>
      <c r="K138" s="10"/>
      <c r="N138" s="10"/>
      <c r="O138" s="20"/>
      <c r="P138" s="20"/>
      <c r="R138" s="20"/>
      <c r="S138" s="10"/>
    </row>
    <row r="139" spans="3:19" s="19" customFormat="1" x14ac:dyDescent="0.2">
      <c r="C139" s="29"/>
      <c r="E139" s="10"/>
      <c r="H139" s="10"/>
      <c r="K139" s="10"/>
      <c r="N139" s="10"/>
      <c r="O139" s="20"/>
      <c r="P139" s="20"/>
      <c r="R139" s="20"/>
      <c r="S139" s="10"/>
    </row>
    <row r="140" spans="3:19" s="19" customFormat="1" x14ac:dyDescent="0.2">
      <c r="C140" s="29"/>
      <c r="E140" s="10"/>
      <c r="H140" s="10"/>
      <c r="K140" s="10"/>
      <c r="N140" s="10"/>
      <c r="O140" s="20"/>
      <c r="P140" s="20"/>
      <c r="R140" s="20"/>
      <c r="S140" s="10"/>
    </row>
    <row r="141" spans="3:19" s="19" customFormat="1" x14ac:dyDescent="0.2">
      <c r="C141" s="29"/>
      <c r="E141" s="10"/>
      <c r="H141" s="10"/>
      <c r="K141" s="10"/>
      <c r="N141" s="10"/>
      <c r="O141" s="20"/>
      <c r="P141" s="20"/>
      <c r="R141" s="20"/>
      <c r="S141" s="10"/>
    </row>
    <row r="142" spans="3:19" s="19" customFormat="1" x14ac:dyDescent="0.2">
      <c r="C142" s="29"/>
      <c r="E142" s="10"/>
      <c r="H142" s="10"/>
      <c r="K142" s="10"/>
      <c r="N142" s="10"/>
      <c r="O142" s="20"/>
      <c r="P142" s="20"/>
      <c r="R142" s="20"/>
      <c r="S142" s="10"/>
    </row>
    <row r="143" spans="3:19" s="19" customFormat="1" x14ac:dyDescent="0.2">
      <c r="C143" s="29"/>
      <c r="E143" s="10"/>
      <c r="H143" s="10"/>
      <c r="K143" s="10"/>
      <c r="N143" s="10"/>
      <c r="O143" s="20"/>
      <c r="P143" s="20"/>
      <c r="R143" s="20"/>
      <c r="S143" s="10"/>
    </row>
    <row r="144" spans="3:19" s="19" customFormat="1" x14ac:dyDescent="0.2">
      <c r="C144" s="29"/>
      <c r="E144" s="10"/>
      <c r="H144" s="10"/>
      <c r="K144" s="10"/>
      <c r="N144" s="10"/>
      <c r="O144" s="20"/>
      <c r="P144" s="20"/>
      <c r="R144" s="20"/>
      <c r="S144" s="10"/>
    </row>
    <row r="145" spans="3:19" s="19" customFormat="1" x14ac:dyDescent="0.2">
      <c r="C145" s="29"/>
      <c r="E145" s="10"/>
      <c r="H145" s="10"/>
      <c r="K145" s="10"/>
      <c r="N145" s="10"/>
      <c r="O145" s="20"/>
      <c r="P145" s="20"/>
      <c r="R145" s="20"/>
      <c r="S145" s="10"/>
    </row>
    <row r="146" spans="3:19" s="19" customFormat="1" x14ac:dyDescent="0.2">
      <c r="C146" s="29"/>
      <c r="E146" s="10"/>
      <c r="H146" s="10"/>
      <c r="K146" s="10"/>
      <c r="N146" s="10"/>
      <c r="O146" s="20"/>
      <c r="P146" s="20"/>
      <c r="R146" s="20"/>
      <c r="S146" s="10"/>
    </row>
    <row r="147" spans="3:19" s="19" customFormat="1" x14ac:dyDescent="0.2">
      <c r="C147" s="29"/>
      <c r="E147" s="10"/>
      <c r="H147" s="10"/>
      <c r="K147" s="10"/>
      <c r="N147" s="10"/>
      <c r="O147" s="20"/>
      <c r="P147" s="20"/>
      <c r="R147" s="20"/>
      <c r="S147" s="10"/>
    </row>
    <row r="148" spans="3:19" s="19" customFormat="1" x14ac:dyDescent="0.2">
      <c r="C148" s="29"/>
      <c r="E148" s="10"/>
      <c r="H148" s="10"/>
      <c r="K148" s="10"/>
      <c r="N148" s="10"/>
      <c r="O148" s="20"/>
      <c r="P148" s="20"/>
      <c r="R148" s="20"/>
      <c r="S148" s="10"/>
    </row>
    <row r="149" spans="3:19" s="19" customFormat="1" x14ac:dyDescent="0.2">
      <c r="C149" s="29"/>
      <c r="E149" s="10"/>
      <c r="H149" s="10"/>
      <c r="K149" s="10"/>
      <c r="N149" s="10"/>
      <c r="O149" s="20"/>
      <c r="P149" s="20"/>
      <c r="R149" s="20"/>
      <c r="S149" s="10"/>
    </row>
    <row r="150" spans="3:19" s="19" customFormat="1" x14ac:dyDescent="0.2">
      <c r="C150" s="29"/>
      <c r="E150" s="10"/>
      <c r="H150" s="10"/>
      <c r="K150" s="10"/>
      <c r="N150" s="10"/>
      <c r="O150" s="20"/>
      <c r="P150" s="20"/>
      <c r="R150" s="20"/>
      <c r="S150" s="10"/>
    </row>
    <row r="151" spans="3:19" s="19" customFormat="1" x14ac:dyDescent="0.2">
      <c r="C151" s="29"/>
      <c r="E151" s="10"/>
      <c r="H151" s="10"/>
      <c r="K151" s="10"/>
      <c r="N151" s="10"/>
      <c r="O151" s="20"/>
      <c r="P151" s="20"/>
      <c r="R151" s="20"/>
      <c r="S151" s="10"/>
    </row>
    <row r="152" spans="3:19" s="19" customFormat="1" x14ac:dyDescent="0.2">
      <c r="C152" s="29"/>
      <c r="E152" s="10"/>
      <c r="H152" s="10"/>
      <c r="K152" s="10"/>
      <c r="N152" s="10"/>
      <c r="O152" s="20"/>
      <c r="P152" s="20"/>
      <c r="R152" s="20"/>
      <c r="S152" s="10"/>
    </row>
    <row r="153" spans="3:19" s="19" customFormat="1" x14ac:dyDescent="0.2">
      <c r="C153" s="29"/>
      <c r="E153" s="10"/>
      <c r="H153" s="10"/>
      <c r="K153" s="10"/>
      <c r="N153" s="10"/>
      <c r="O153" s="20"/>
      <c r="P153" s="20"/>
      <c r="R153" s="20"/>
      <c r="S153" s="10"/>
    </row>
    <row r="154" spans="3:19" s="19" customFormat="1" x14ac:dyDescent="0.2">
      <c r="C154" s="29"/>
      <c r="E154" s="10"/>
      <c r="H154" s="10"/>
      <c r="K154" s="10"/>
      <c r="N154" s="10"/>
      <c r="O154" s="20"/>
      <c r="P154" s="20"/>
      <c r="R154" s="20"/>
      <c r="S154" s="10"/>
    </row>
    <row r="155" spans="3:19" s="19" customFormat="1" x14ac:dyDescent="0.2">
      <c r="C155" s="29"/>
      <c r="E155" s="10"/>
      <c r="H155" s="10"/>
      <c r="K155" s="10"/>
      <c r="N155" s="10"/>
      <c r="O155" s="20"/>
      <c r="P155" s="20"/>
      <c r="R155" s="20"/>
      <c r="S155" s="10"/>
    </row>
    <row r="156" spans="3:19" s="19" customFormat="1" x14ac:dyDescent="0.2">
      <c r="C156" s="29"/>
      <c r="E156" s="10"/>
      <c r="H156" s="10"/>
      <c r="K156" s="10"/>
      <c r="N156" s="10"/>
      <c r="O156" s="20"/>
      <c r="P156" s="20"/>
      <c r="R156" s="20"/>
      <c r="S156" s="10"/>
    </row>
    <row r="157" spans="3:19" s="19" customFormat="1" x14ac:dyDescent="0.2">
      <c r="C157" s="29"/>
      <c r="E157" s="10"/>
      <c r="H157" s="10"/>
      <c r="K157" s="10"/>
      <c r="N157" s="10"/>
      <c r="O157" s="20"/>
      <c r="P157" s="20"/>
      <c r="R157" s="20"/>
      <c r="S157" s="10"/>
    </row>
    <row r="158" spans="3:19" s="19" customFormat="1" x14ac:dyDescent="0.2">
      <c r="C158" s="29"/>
      <c r="E158" s="10"/>
      <c r="H158" s="10"/>
      <c r="K158" s="10"/>
      <c r="N158" s="10"/>
      <c r="O158" s="20"/>
      <c r="P158" s="20"/>
      <c r="R158" s="20"/>
      <c r="S158" s="10"/>
    </row>
    <row r="159" spans="3:19" s="19" customFormat="1" x14ac:dyDescent="0.2">
      <c r="C159" s="29"/>
      <c r="E159" s="10"/>
      <c r="H159" s="10"/>
      <c r="K159" s="10"/>
      <c r="N159" s="10"/>
      <c r="O159" s="20"/>
      <c r="P159" s="20"/>
      <c r="R159" s="20"/>
      <c r="S159" s="10"/>
    </row>
    <row r="160" spans="3:19" s="19" customFormat="1" x14ac:dyDescent="0.2">
      <c r="C160" s="29"/>
      <c r="E160" s="10"/>
      <c r="H160" s="10"/>
      <c r="K160" s="10"/>
      <c r="N160" s="10"/>
      <c r="O160" s="20"/>
      <c r="P160" s="20"/>
      <c r="R160" s="20"/>
      <c r="S160" s="10"/>
    </row>
    <row r="161" spans="3:19" s="19" customFormat="1" x14ac:dyDescent="0.2">
      <c r="C161" s="29"/>
      <c r="E161" s="10"/>
      <c r="H161" s="10"/>
      <c r="K161" s="10"/>
      <c r="N161" s="10"/>
      <c r="O161" s="20"/>
      <c r="P161" s="20"/>
      <c r="R161" s="20"/>
      <c r="S161" s="10"/>
    </row>
    <row r="162" spans="3:19" s="19" customFormat="1" x14ac:dyDescent="0.2">
      <c r="C162" s="29"/>
      <c r="E162" s="10"/>
      <c r="H162" s="10"/>
      <c r="K162" s="10"/>
      <c r="N162" s="10"/>
      <c r="O162" s="20"/>
      <c r="P162" s="20"/>
      <c r="R162" s="20"/>
      <c r="S162" s="10"/>
    </row>
    <row r="163" spans="3:19" s="19" customFormat="1" x14ac:dyDescent="0.2">
      <c r="C163" s="29"/>
      <c r="E163" s="10"/>
      <c r="H163" s="10"/>
      <c r="K163" s="10"/>
      <c r="N163" s="10"/>
      <c r="O163" s="20"/>
      <c r="P163" s="20"/>
      <c r="R163" s="20"/>
      <c r="S163" s="10"/>
    </row>
    <row r="164" spans="3:19" s="19" customFormat="1" x14ac:dyDescent="0.2">
      <c r="C164" s="29"/>
      <c r="E164" s="10"/>
      <c r="H164" s="10"/>
      <c r="K164" s="10"/>
      <c r="N164" s="10"/>
      <c r="O164" s="20"/>
      <c r="P164" s="20"/>
      <c r="R164" s="20"/>
      <c r="S164" s="10"/>
    </row>
    <row r="165" spans="3:19" s="19" customFormat="1" x14ac:dyDescent="0.2">
      <c r="C165" s="29"/>
      <c r="E165" s="10"/>
      <c r="H165" s="10"/>
      <c r="K165" s="10"/>
      <c r="N165" s="10"/>
      <c r="O165" s="20"/>
      <c r="P165" s="20"/>
      <c r="R165" s="20"/>
      <c r="S165" s="10"/>
    </row>
    <row r="166" spans="3:19" s="19" customFormat="1" x14ac:dyDescent="0.2">
      <c r="C166" s="29"/>
      <c r="E166" s="10"/>
      <c r="H166" s="10"/>
      <c r="K166" s="10"/>
      <c r="N166" s="10"/>
      <c r="O166" s="20"/>
      <c r="P166" s="20"/>
      <c r="R166" s="20"/>
      <c r="S166" s="10"/>
    </row>
    <row r="167" spans="3:19" s="19" customFormat="1" x14ac:dyDescent="0.2">
      <c r="C167" s="29"/>
      <c r="E167" s="10"/>
      <c r="H167" s="10"/>
      <c r="K167" s="10"/>
      <c r="N167" s="10"/>
      <c r="O167" s="20"/>
      <c r="P167" s="20"/>
      <c r="R167" s="20"/>
      <c r="S167" s="10"/>
    </row>
    <row r="168" spans="3:19" s="19" customFormat="1" x14ac:dyDescent="0.2">
      <c r="C168" s="29"/>
      <c r="E168" s="10"/>
      <c r="H168" s="10"/>
      <c r="K168" s="10"/>
      <c r="N168" s="10"/>
      <c r="O168" s="20"/>
      <c r="P168" s="20"/>
      <c r="R168" s="20"/>
      <c r="S168" s="10"/>
    </row>
    <row r="169" spans="3:19" s="19" customFormat="1" x14ac:dyDescent="0.2">
      <c r="C169" s="29"/>
      <c r="E169" s="10"/>
      <c r="H169" s="10"/>
      <c r="K169" s="10"/>
      <c r="N169" s="10"/>
      <c r="O169" s="20"/>
      <c r="P169" s="20"/>
      <c r="R169" s="20"/>
      <c r="S169" s="10"/>
    </row>
    <row r="170" spans="3:19" s="19" customFormat="1" x14ac:dyDescent="0.2">
      <c r="C170" s="29"/>
      <c r="E170" s="10"/>
      <c r="H170" s="10"/>
      <c r="K170" s="10"/>
      <c r="N170" s="10"/>
      <c r="O170" s="20"/>
      <c r="P170" s="20"/>
      <c r="R170" s="20"/>
      <c r="S170" s="10"/>
    </row>
    <row r="171" spans="3:19" s="19" customFormat="1" x14ac:dyDescent="0.2">
      <c r="C171" s="29"/>
      <c r="E171" s="10"/>
      <c r="H171" s="10"/>
      <c r="K171" s="10"/>
      <c r="N171" s="10"/>
      <c r="O171" s="20"/>
      <c r="P171" s="20"/>
      <c r="R171" s="20"/>
      <c r="S171" s="10"/>
    </row>
    <row r="172" spans="3:19" s="19" customFormat="1" x14ac:dyDescent="0.2">
      <c r="C172" s="29"/>
      <c r="E172" s="10"/>
      <c r="H172" s="10"/>
      <c r="K172" s="10"/>
      <c r="N172" s="10"/>
      <c r="O172" s="20"/>
      <c r="P172" s="20"/>
      <c r="R172" s="20"/>
      <c r="S172" s="10"/>
    </row>
    <row r="173" spans="3:19" s="19" customFormat="1" x14ac:dyDescent="0.2">
      <c r="C173" s="29"/>
      <c r="E173" s="10"/>
      <c r="H173" s="10"/>
      <c r="K173" s="10"/>
      <c r="N173" s="10"/>
      <c r="O173" s="20"/>
      <c r="P173" s="20"/>
      <c r="R173" s="20"/>
      <c r="S173" s="10"/>
    </row>
    <row r="174" spans="3:19" s="19" customFormat="1" x14ac:dyDescent="0.2">
      <c r="C174" s="29"/>
      <c r="E174" s="10"/>
      <c r="H174" s="10"/>
      <c r="K174" s="10"/>
      <c r="N174" s="10"/>
      <c r="O174" s="20"/>
      <c r="P174" s="20"/>
      <c r="R174" s="20"/>
      <c r="S174" s="10"/>
    </row>
    <row r="175" spans="3:19" s="19" customFormat="1" x14ac:dyDescent="0.2">
      <c r="C175" s="29"/>
      <c r="E175" s="10"/>
      <c r="H175" s="10"/>
      <c r="K175" s="10"/>
      <c r="N175" s="10"/>
      <c r="O175" s="20"/>
      <c r="P175" s="20"/>
      <c r="R175" s="20"/>
      <c r="S175" s="10"/>
    </row>
    <row r="176" spans="3:19" s="19" customFormat="1" x14ac:dyDescent="0.2">
      <c r="C176" s="29"/>
      <c r="E176" s="10"/>
      <c r="H176" s="10"/>
      <c r="K176" s="10"/>
      <c r="N176" s="10"/>
      <c r="O176" s="20"/>
      <c r="P176" s="20"/>
      <c r="R176" s="20"/>
      <c r="S176" s="10"/>
    </row>
    <row r="177" spans="3:19" s="19" customFormat="1" x14ac:dyDescent="0.2">
      <c r="C177" s="29"/>
      <c r="E177" s="10"/>
      <c r="H177" s="10"/>
      <c r="K177" s="10"/>
      <c r="N177" s="10"/>
      <c r="O177" s="20"/>
      <c r="P177" s="20"/>
      <c r="R177" s="20"/>
      <c r="S177" s="10"/>
    </row>
    <row r="178" spans="3:19" s="19" customFormat="1" x14ac:dyDescent="0.2">
      <c r="C178" s="29"/>
      <c r="E178" s="10"/>
      <c r="H178" s="10"/>
      <c r="K178" s="10"/>
      <c r="N178" s="10"/>
      <c r="O178" s="20"/>
      <c r="P178" s="20"/>
      <c r="R178" s="20"/>
      <c r="S178" s="10"/>
    </row>
    <row r="179" spans="3:19" s="19" customFormat="1" x14ac:dyDescent="0.2">
      <c r="C179" s="29"/>
      <c r="E179" s="10"/>
      <c r="H179" s="10"/>
      <c r="K179" s="10"/>
      <c r="N179" s="10"/>
      <c r="O179" s="20"/>
      <c r="P179" s="20"/>
      <c r="R179" s="20"/>
      <c r="S179" s="10"/>
    </row>
    <row r="180" spans="3:19" s="19" customFormat="1" x14ac:dyDescent="0.2">
      <c r="C180" s="29"/>
      <c r="E180" s="10"/>
      <c r="H180" s="10"/>
      <c r="K180" s="10"/>
      <c r="N180" s="10"/>
      <c r="O180" s="20"/>
      <c r="P180" s="20"/>
      <c r="R180" s="20"/>
      <c r="S180" s="10"/>
    </row>
    <row r="181" spans="3:19" s="19" customFormat="1" x14ac:dyDescent="0.2">
      <c r="C181" s="29"/>
      <c r="E181" s="10"/>
      <c r="H181" s="10"/>
      <c r="K181" s="10"/>
      <c r="N181" s="10"/>
      <c r="O181" s="20"/>
      <c r="P181" s="20"/>
      <c r="R181" s="20"/>
      <c r="S181" s="10"/>
    </row>
    <row r="182" spans="3:19" s="19" customFormat="1" x14ac:dyDescent="0.2">
      <c r="C182" s="29"/>
      <c r="E182" s="10"/>
      <c r="H182" s="10"/>
      <c r="K182" s="10"/>
      <c r="N182" s="10"/>
      <c r="O182" s="20"/>
      <c r="P182" s="20"/>
      <c r="R182" s="20"/>
      <c r="S182" s="10"/>
    </row>
    <row r="183" spans="3:19" s="19" customFormat="1" x14ac:dyDescent="0.2">
      <c r="C183" s="29"/>
      <c r="E183" s="10"/>
      <c r="H183" s="10"/>
      <c r="K183" s="10"/>
      <c r="N183" s="10"/>
      <c r="O183" s="20"/>
      <c r="P183" s="20"/>
      <c r="R183" s="20"/>
      <c r="S183" s="10"/>
    </row>
    <row r="184" spans="3:19" s="19" customFormat="1" x14ac:dyDescent="0.2">
      <c r="C184" s="29"/>
      <c r="E184" s="10"/>
      <c r="H184" s="10"/>
      <c r="K184" s="10"/>
      <c r="N184" s="10"/>
      <c r="O184" s="20"/>
      <c r="P184" s="20"/>
      <c r="R184" s="20"/>
      <c r="S184" s="10"/>
    </row>
    <row r="185" spans="3:19" s="19" customFormat="1" x14ac:dyDescent="0.2">
      <c r="C185" s="29"/>
      <c r="E185" s="10"/>
      <c r="H185" s="10"/>
      <c r="K185" s="10"/>
      <c r="N185" s="10"/>
      <c r="O185" s="20"/>
      <c r="P185" s="20"/>
      <c r="R185" s="20"/>
      <c r="S185" s="10"/>
    </row>
    <row r="186" spans="3:19" s="19" customFormat="1" x14ac:dyDescent="0.2">
      <c r="C186" s="29"/>
      <c r="E186" s="10"/>
      <c r="H186" s="10"/>
      <c r="K186" s="10"/>
      <c r="N186" s="10"/>
      <c r="O186" s="20"/>
      <c r="P186" s="20"/>
      <c r="R186" s="20"/>
      <c r="S186" s="10"/>
    </row>
    <row r="187" spans="3:19" s="19" customFormat="1" x14ac:dyDescent="0.2">
      <c r="C187" s="29"/>
      <c r="E187" s="10"/>
      <c r="H187" s="10"/>
      <c r="K187" s="10"/>
      <c r="N187" s="10"/>
      <c r="O187" s="20"/>
      <c r="P187" s="20"/>
      <c r="R187" s="20"/>
      <c r="S187" s="10"/>
    </row>
    <row r="188" spans="3:19" s="19" customFormat="1" x14ac:dyDescent="0.2">
      <c r="C188" s="29"/>
      <c r="E188" s="10"/>
      <c r="H188" s="10"/>
      <c r="K188" s="10"/>
      <c r="N188" s="10"/>
      <c r="O188" s="20"/>
      <c r="P188" s="20"/>
      <c r="R188" s="20"/>
      <c r="S188" s="10"/>
    </row>
    <row r="189" spans="3:19" s="19" customFormat="1" x14ac:dyDescent="0.2">
      <c r="C189" s="29"/>
      <c r="E189" s="10"/>
      <c r="H189" s="10"/>
      <c r="K189" s="10"/>
      <c r="N189" s="10"/>
      <c r="O189" s="20"/>
      <c r="P189" s="20"/>
      <c r="R189" s="20"/>
      <c r="S189" s="10"/>
    </row>
    <row r="190" spans="3:19" s="19" customFormat="1" x14ac:dyDescent="0.2">
      <c r="C190" s="29"/>
      <c r="E190" s="10"/>
      <c r="H190" s="10"/>
      <c r="K190" s="10"/>
      <c r="N190" s="10"/>
      <c r="O190" s="20"/>
      <c r="P190" s="20"/>
      <c r="R190" s="20"/>
      <c r="S190" s="10"/>
    </row>
    <row r="191" spans="3:19" s="19" customFormat="1" x14ac:dyDescent="0.2">
      <c r="C191" s="29"/>
      <c r="E191" s="10"/>
      <c r="H191" s="10"/>
      <c r="K191" s="10"/>
      <c r="N191" s="10"/>
      <c r="O191" s="20"/>
      <c r="P191" s="20"/>
      <c r="R191" s="20"/>
      <c r="S191" s="10"/>
    </row>
    <row r="192" spans="3:19" s="19" customFormat="1" x14ac:dyDescent="0.2">
      <c r="C192" s="29"/>
      <c r="E192" s="10"/>
      <c r="H192" s="10"/>
      <c r="K192" s="10"/>
      <c r="N192" s="10"/>
      <c r="O192" s="20"/>
      <c r="P192" s="20"/>
      <c r="R192" s="20"/>
      <c r="S192" s="10"/>
    </row>
    <row r="193" spans="3:19" s="19" customFormat="1" x14ac:dyDescent="0.2">
      <c r="C193" s="29"/>
      <c r="E193" s="10"/>
      <c r="H193" s="10"/>
      <c r="K193" s="10"/>
      <c r="N193" s="10"/>
      <c r="O193" s="20"/>
      <c r="P193" s="20"/>
      <c r="R193" s="20"/>
      <c r="S193" s="10"/>
    </row>
    <row r="194" spans="3:19" s="19" customFormat="1" x14ac:dyDescent="0.2">
      <c r="C194" s="29"/>
      <c r="E194" s="10"/>
      <c r="H194" s="10"/>
      <c r="K194" s="10"/>
      <c r="N194" s="10"/>
      <c r="O194" s="20"/>
      <c r="P194" s="20"/>
      <c r="R194" s="20"/>
      <c r="S194" s="10"/>
    </row>
    <row r="195" spans="3:19" s="19" customFormat="1" x14ac:dyDescent="0.2">
      <c r="C195" s="29"/>
      <c r="E195" s="10"/>
      <c r="H195" s="10"/>
      <c r="K195" s="10"/>
      <c r="N195" s="10"/>
      <c r="O195" s="20"/>
      <c r="P195" s="20"/>
      <c r="R195" s="20"/>
      <c r="S195" s="10"/>
    </row>
    <row r="196" spans="3:19" s="19" customFormat="1" x14ac:dyDescent="0.2">
      <c r="C196" s="29"/>
      <c r="E196" s="10"/>
      <c r="H196" s="10"/>
      <c r="K196" s="10"/>
      <c r="N196" s="10"/>
      <c r="O196" s="20"/>
      <c r="P196" s="20"/>
      <c r="R196" s="20"/>
      <c r="S196" s="10"/>
    </row>
    <row r="197" spans="3:19" s="19" customFormat="1" x14ac:dyDescent="0.2">
      <c r="C197" s="29"/>
      <c r="E197" s="10"/>
      <c r="H197" s="10"/>
      <c r="K197" s="10"/>
      <c r="N197" s="10"/>
      <c r="O197" s="20"/>
      <c r="P197" s="20"/>
      <c r="R197" s="20"/>
      <c r="S197" s="10"/>
    </row>
    <row r="198" spans="3:19" s="19" customFormat="1" x14ac:dyDescent="0.2">
      <c r="C198" s="29"/>
      <c r="E198" s="10"/>
      <c r="H198" s="10"/>
      <c r="K198" s="10"/>
      <c r="N198" s="10"/>
      <c r="O198" s="20"/>
      <c r="P198" s="20"/>
      <c r="R198" s="20"/>
      <c r="S198" s="10"/>
    </row>
    <row r="199" spans="3:19" s="19" customFormat="1" x14ac:dyDescent="0.2">
      <c r="C199" s="29"/>
      <c r="E199" s="10"/>
      <c r="H199" s="10"/>
      <c r="K199" s="10"/>
      <c r="N199" s="10"/>
      <c r="O199" s="20"/>
      <c r="P199" s="20"/>
      <c r="R199" s="20"/>
      <c r="S199" s="10"/>
    </row>
    <row r="200" spans="3:19" s="19" customFormat="1" x14ac:dyDescent="0.2">
      <c r="C200" s="29"/>
      <c r="E200" s="10"/>
      <c r="H200" s="10"/>
      <c r="K200" s="10"/>
      <c r="N200" s="10"/>
      <c r="O200" s="20"/>
      <c r="P200" s="20"/>
      <c r="R200" s="20"/>
      <c r="S200" s="10"/>
    </row>
    <row r="201" spans="3:19" s="19" customFormat="1" x14ac:dyDescent="0.2">
      <c r="C201" s="29"/>
      <c r="E201" s="10"/>
      <c r="H201" s="10"/>
      <c r="K201" s="10"/>
      <c r="N201" s="10"/>
      <c r="O201" s="20"/>
      <c r="P201" s="20"/>
      <c r="R201" s="20"/>
      <c r="S201" s="10"/>
    </row>
    <row r="202" spans="3:19" s="19" customFormat="1" x14ac:dyDescent="0.2">
      <c r="C202" s="29"/>
      <c r="E202" s="10"/>
      <c r="H202" s="10"/>
      <c r="K202" s="10"/>
      <c r="N202" s="10"/>
      <c r="O202" s="20"/>
      <c r="P202" s="20"/>
      <c r="R202" s="20"/>
      <c r="S202" s="10"/>
    </row>
    <row r="203" spans="3:19" s="19" customFormat="1" x14ac:dyDescent="0.2">
      <c r="C203" s="29"/>
      <c r="E203" s="10"/>
      <c r="H203" s="10"/>
      <c r="K203" s="10"/>
      <c r="N203" s="10"/>
      <c r="O203" s="20"/>
      <c r="P203" s="20"/>
      <c r="R203" s="20"/>
      <c r="S203" s="10"/>
    </row>
    <row r="204" spans="3:19" s="19" customFormat="1" x14ac:dyDescent="0.2">
      <c r="C204" s="29"/>
      <c r="E204" s="10"/>
      <c r="H204" s="10"/>
      <c r="K204" s="10"/>
      <c r="N204" s="10"/>
      <c r="O204" s="20"/>
      <c r="P204" s="20"/>
      <c r="R204" s="20"/>
      <c r="S204" s="10"/>
    </row>
    <row r="205" spans="3:19" s="19" customFormat="1" x14ac:dyDescent="0.2">
      <c r="C205" s="29"/>
      <c r="E205" s="10"/>
      <c r="H205" s="10"/>
      <c r="K205" s="10"/>
      <c r="N205" s="10"/>
      <c r="O205" s="20"/>
      <c r="P205" s="20"/>
      <c r="R205" s="20"/>
      <c r="S205" s="10"/>
    </row>
    <row r="206" spans="3:19" s="19" customFormat="1" x14ac:dyDescent="0.2">
      <c r="C206" s="29"/>
      <c r="E206" s="10"/>
      <c r="H206" s="10"/>
      <c r="K206" s="10"/>
      <c r="N206" s="10"/>
      <c r="O206" s="20"/>
      <c r="P206" s="20"/>
      <c r="R206" s="20"/>
      <c r="S206" s="10"/>
    </row>
    <row r="207" spans="3:19" s="19" customFormat="1" x14ac:dyDescent="0.2">
      <c r="C207" s="29"/>
      <c r="E207" s="10"/>
      <c r="H207" s="10"/>
      <c r="K207" s="10"/>
      <c r="N207" s="10"/>
      <c r="O207" s="20"/>
      <c r="P207" s="20"/>
      <c r="R207" s="20"/>
      <c r="S207" s="10"/>
    </row>
    <row r="208" spans="3:19" s="19" customFormat="1" x14ac:dyDescent="0.2">
      <c r="C208" s="29"/>
      <c r="E208" s="10"/>
      <c r="H208" s="10"/>
      <c r="K208" s="10"/>
      <c r="N208" s="10"/>
      <c r="O208" s="20"/>
      <c r="P208" s="20"/>
      <c r="R208" s="20"/>
      <c r="S208" s="10"/>
    </row>
    <row r="209" spans="3:19" s="19" customFormat="1" x14ac:dyDescent="0.2">
      <c r="C209" s="29"/>
      <c r="E209" s="10"/>
      <c r="H209" s="10"/>
      <c r="K209" s="10"/>
      <c r="N209" s="10"/>
      <c r="O209" s="20"/>
      <c r="P209" s="20"/>
      <c r="R209" s="20"/>
      <c r="S209" s="10"/>
    </row>
    <row r="210" spans="3:19" s="19" customFormat="1" x14ac:dyDescent="0.2">
      <c r="C210" s="29"/>
      <c r="E210" s="10"/>
      <c r="H210" s="10"/>
      <c r="K210" s="10"/>
      <c r="N210" s="10"/>
      <c r="O210" s="20"/>
      <c r="P210" s="20"/>
      <c r="R210" s="20"/>
      <c r="S210" s="10"/>
    </row>
    <row r="211" spans="3:19" s="19" customFormat="1" x14ac:dyDescent="0.2">
      <c r="C211" s="29"/>
      <c r="E211" s="10"/>
      <c r="H211" s="10"/>
      <c r="K211" s="10"/>
      <c r="N211" s="10"/>
      <c r="O211" s="20"/>
      <c r="P211" s="20"/>
      <c r="R211" s="20"/>
      <c r="S211" s="10"/>
    </row>
    <row r="212" spans="3:19" s="19" customFormat="1" x14ac:dyDescent="0.2">
      <c r="C212" s="29"/>
      <c r="E212" s="10"/>
      <c r="H212" s="10"/>
      <c r="K212" s="10"/>
      <c r="N212" s="10"/>
      <c r="O212" s="20"/>
      <c r="P212" s="20"/>
      <c r="R212" s="20"/>
      <c r="S212" s="10"/>
    </row>
    <row r="213" spans="3:19" s="19" customFormat="1" x14ac:dyDescent="0.2">
      <c r="C213" s="29"/>
      <c r="E213" s="10"/>
      <c r="H213" s="10"/>
      <c r="K213" s="10"/>
      <c r="N213" s="10"/>
      <c r="O213" s="20"/>
      <c r="P213" s="20"/>
      <c r="R213" s="20"/>
      <c r="S213" s="10"/>
    </row>
    <row r="214" spans="3:19" s="19" customFormat="1" x14ac:dyDescent="0.2">
      <c r="C214" s="29"/>
      <c r="E214" s="10"/>
      <c r="H214" s="10"/>
      <c r="K214" s="10"/>
      <c r="N214" s="10"/>
      <c r="O214" s="20"/>
      <c r="P214" s="20"/>
      <c r="R214" s="20"/>
      <c r="S214" s="10"/>
    </row>
    <row r="215" spans="3:19" s="19" customFormat="1" x14ac:dyDescent="0.2">
      <c r="C215" s="29"/>
      <c r="E215" s="10"/>
      <c r="H215" s="10"/>
      <c r="K215" s="10"/>
      <c r="N215" s="10"/>
      <c r="O215" s="20"/>
      <c r="P215" s="20"/>
      <c r="R215" s="20"/>
      <c r="S215" s="10"/>
    </row>
    <row r="216" spans="3:19" s="19" customFormat="1" x14ac:dyDescent="0.2">
      <c r="C216" s="29"/>
      <c r="E216" s="10"/>
      <c r="H216" s="10"/>
      <c r="K216" s="10"/>
      <c r="N216" s="10"/>
      <c r="O216" s="20"/>
      <c r="P216" s="20"/>
      <c r="R216" s="20"/>
      <c r="S216" s="10"/>
    </row>
    <row r="217" spans="3:19" s="19" customFormat="1" x14ac:dyDescent="0.2">
      <c r="C217" s="29"/>
      <c r="E217" s="10"/>
      <c r="H217" s="10"/>
      <c r="K217" s="10"/>
      <c r="N217" s="10"/>
      <c r="O217" s="20"/>
      <c r="P217" s="20"/>
      <c r="R217" s="20"/>
      <c r="S217" s="10"/>
    </row>
    <row r="218" spans="3:19" s="19" customFormat="1" x14ac:dyDescent="0.2">
      <c r="C218" s="29"/>
      <c r="E218" s="10"/>
      <c r="H218" s="10"/>
      <c r="K218" s="10"/>
      <c r="N218" s="10"/>
      <c r="O218" s="20"/>
      <c r="P218" s="20"/>
      <c r="R218" s="20"/>
      <c r="S218" s="10"/>
    </row>
    <row r="219" spans="3:19" s="19" customFormat="1" x14ac:dyDescent="0.2">
      <c r="C219" s="29"/>
      <c r="E219" s="10"/>
      <c r="H219" s="10"/>
      <c r="K219" s="10"/>
      <c r="N219" s="10"/>
      <c r="O219" s="20"/>
      <c r="P219" s="20"/>
      <c r="R219" s="20"/>
      <c r="S219" s="10"/>
    </row>
    <row r="220" spans="3:19" s="19" customFormat="1" x14ac:dyDescent="0.2">
      <c r="C220" s="29"/>
      <c r="E220" s="10"/>
      <c r="H220" s="10"/>
      <c r="K220" s="10"/>
      <c r="N220" s="10"/>
      <c r="O220" s="20"/>
      <c r="P220" s="20"/>
      <c r="R220" s="20"/>
      <c r="S220" s="10"/>
    </row>
    <row r="221" spans="3:19" s="19" customFormat="1" x14ac:dyDescent="0.2">
      <c r="C221" s="29"/>
      <c r="E221" s="10"/>
      <c r="H221" s="10"/>
      <c r="K221" s="10"/>
      <c r="N221" s="10"/>
      <c r="O221" s="20"/>
      <c r="P221" s="20"/>
      <c r="R221" s="20"/>
      <c r="S221" s="10"/>
    </row>
    <row r="222" spans="3:19" s="19" customFormat="1" x14ac:dyDescent="0.2">
      <c r="C222" s="29"/>
      <c r="E222" s="10"/>
      <c r="H222" s="10"/>
      <c r="K222" s="10"/>
      <c r="N222" s="10"/>
      <c r="O222" s="20"/>
      <c r="P222" s="20"/>
      <c r="R222" s="20"/>
      <c r="S222" s="10"/>
    </row>
    <row r="223" spans="3:19" s="19" customFormat="1" x14ac:dyDescent="0.2">
      <c r="C223" s="29"/>
      <c r="E223" s="10"/>
      <c r="H223" s="10"/>
      <c r="K223" s="10"/>
      <c r="N223" s="10"/>
      <c r="O223" s="20"/>
      <c r="P223" s="20"/>
      <c r="R223" s="20"/>
      <c r="S223" s="10"/>
    </row>
    <row r="224" spans="3:19" s="19" customFormat="1" x14ac:dyDescent="0.2">
      <c r="C224" s="29"/>
      <c r="E224" s="10"/>
      <c r="H224" s="10"/>
      <c r="K224" s="10"/>
      <c r="N224" s="10"/>
      <c r="O224" s="20"/>
      <c r="P224" s="20"/>
      <c r="R224" s="20"/>
      <c r="S224" s="10"/>
    </row>
    <row r="225" spans="3:19" s="19" customFormat="1" x14ac:dyDescent="0.2">
      <c r="C225" s="29"/>
      <c r="E225" s="10"/>
      <c r="H225" s="10"/>
      <c r="K225" s="10"/>
      <c r="N225" s="10"/>
      <c r="O225" s="20"/>
      <c r="P225" s="20"/>
      <c r="R225" s="20"/>
      <c r="S225" s="10"/>
    </row>
    <row r="226" spans="3:19" s="19" customFormat="1" x14ac:dyDescent="0.2">
      <c r="C226" s="29"/>
      <c r="E226" s="10"/>
      <c r="H226" s="10"/>
      <c r="K226" s="10"/>
      <c r="N226" s="10"/>
      <c r="O226" s="20"/>
      <c r="P226" s="20"/>
      <c r="R226" s="20"/>
      <c r="S226" s="10"/>
    </row>
    <row r="227" spans="3:19" s="19" customFormat="1" x14ac:dyDescent="0.2">
      <c r="C227" s="29"/>
      <c r="E227" s="10"/>
      <c r="H227" s="10"/>
      <c r="K227" s="10"/>
      <c r="N227" s="10"/>
      <c r="O227" s="20"/>
      <c r="P227" s="20"/>
      <c r="R227" s="20"/>
      <c r="S227" s="10"/>
    </row>
    <row r="228" spans="3:19" s="19" customFormat="1" x14ac:dyDescent="0.2">
      <c r="C228" s="29"/>
      <c r="E228" s="10"/>
      <c r="H228" s="10"/>
      <c r="K228" s="10"/>
      <c r="N228" s="10"/>
      <c r="O228" s="20"/>
      <c r="P228" s="20"/>
      <c r="R228" s="20"/>
      <c r="S228" s="10"/>
    </row>
    <row r="229" spans="3:19" s="19" customFormat="1" x14ac:dyDescent="0.2">
      <c r="C229" s="29"/>
      <c r="E229" s="10"/>
      <c r="H229" s="10"/>
      <c r="K229" s="10"/>
      <c r="N229" s="10"/>
      <c r="O229" s="20"/>
      <c r="P229" s="20"/>
      <c r="R229" s="20"/>
      <c r="S229" s="10"/>
    </row>
    <row r="230" spans="3:19" s="19" customFormat="1" x14ac:dyDescent="0.2">
      <c r="C230" s="29"/>
      <c r="E230" s="10"/>
      <c r="H230" s="10"/>
      <c r="K230" s="10"/>
      <c r="N230" s="10"/>
      <c r="O230" s="20"/>
      <c r="P230" s="20"/>
      <c r="R230" s="20"/>
      <c r="S230" s="10"/>
    </row>
    <row r="231" spans="3:19" s="19" customFormat="1" x14ac:dyDescent="0.2">
      <c r="C231" s="29"/>
      <c r="E231" s="10"/>
      <c r="H231" s="10"/>
      <c r="K231" s="10"/>
      <c r="N231" s="10"/>
      <c r="O231" s="20"/>
      <c r="P231" s="20"/>
      <c r="R231" s="20"/>
      <c r="S231" s="10"/>
    </row>
    <row r="232" spans="3:19" s="19" customFormat="1" x14ac:dyDescent="0.2">
      <c r="C232" s="29"/>
      <c r="E232" s="10"/>
      <c r="H232" s="10"/>
      <c r="K232" s="10"/>
      <c r="N232" s="10"/>
      <c r="O232" s="20"/>
      <c r="P232" s="20"/>
      <c r="R232" s="20"/>
      <c r="S232" s="10"/>
    </row>
    <row r="233" spans="3:19" s="19" customFormat="1" x14ac:dyDescent="0.2">
      <c r="C233" s="29"/>
      <c r="E233" s="10"/>
      <c r="H233" s="10"/>
      <c r="K233" s="10"/>
      <c r="N233" s="10"/>
      <c r="O233" s="20"/>
      <c r="P233" s="20"/>
      <c r="R233" s="20"/>
      <c r="S233" s="10"/>
    </row>
    <row r="234" spans="3:19" s="19" customFormat="1" x14ac:dyDescent="0.2">
      <c r="C234" s="29"/>
      <c r="E234" s="10"/>
      <c r="H234" s="10"/>
      <c r="K234" s="10"/>
      <c r="N234" s="10"/>
      <c r="O234" s="20"/>
      <c r="P234" s="20"/>
      <c r="R234" s="20"/>
      <c r="S234" s="10"/>
    </row>
    <row r="235" spans="3:19" s="19" customFormat="1" x14ac:dyDescent="0.2">
      <c r="C235" s="29"/>
      <c r="E235" s="10"/>
      <c r="H235" s="10"/>
      <c r="K235" s="10"/>
      <c r="N235" s="10"/>
      <c r="O235" s="20"/>
      <c r="P235" s="20"/>
      <c r="R235" s="20"/>
      <c r="S235" s="10"/>
    </row>
    <row r="236" spans="3:19" s="19" customFormat="1" x14ac:dyDescent="0.2">
      <c r="C236" s="29"/>
      <c r="E236" s="10"/>
      <c r="H236" s="10"/>
      <c r="K236" s="10"/>
      <c r="N236" s="10"/>
      <c r="O236" s="20"/>
      <c r="P236" s="20"/>
      <c r="R236" s="20"/>
      <c r="S236" s="10"/>
    </row>
    <row r="237" spans="3:19" s="19" customFormat="1" x14ac:dyDescent="0.2">
      <c r="C237" s="29"/>
      <c r="E237" s="10"/>
      <c r="H237" s="10"/>
      <c r="K237" s="10"/>
      <c r="N237" s="10"/>
      <c r="O237" s="20"/>
      <c r="P237" s="20"/>
      <c r="R237" s="20"/>
      <c r="S237" s="10"/>
    </row>
    <row r="238" spans="3:19" s="19" customFormat="1" x14ac:dyDescent="0.2">
      <c r="C238" s="29"/>
      <c r="E238" s="10"/>
      <c r="H238" s="10"/>
      <c r="K238" s="10"/>
      <c r="N238" s="10"/>
      <c r="O238" s="20"/>
      <c r="P238" s="20"/>
      <c r="R238" s="20"/>
      <c r="S238" s="10"/>
    </row>
    <row r="239" spans="3:19" s="19" customFormat="1" x14ac:dyDescent="0.2">
      <c r="C239" s="29"/>
      <c r="E239" s="10"/>
      <c r="H239" s="10"/>
      <c r="K239" s="10"/>
      <c r="N239" s="10"/>
      <c r="O239" s="20"/>
      <c r="P239" s="20"/>
      <c r="R239" s="20"/>
      <c r="S239" s="10"/>
    </row>
    <row r="240" spans="3:19" s="19" customFormat="1" x14ac:dyDescent="0.2">
      <c r="C240" s="29"/>
      <c r="E240" s="10"/>
      <c r="H240" s="10"/>
      <c r="K240" s="10"/>
      <c r="N240" s="10"/>
      <c r="O240" s="20"/>
      <c r="P240" s="20"/>
      <c r="R240" s="20"/>
      <c r="S240" s="10"/>
    </row>
    <row r="241" spans="3:19" s="19" customFormat="1" x14ac:dyDescent="0.2">
      <c r="C241" s="29"/>
      <c r="E241" s="10"/>
      <c r="H241" s="10"/>
      <c r="K241" s="10"/>
      <c r="N241" s="10"/>
      <c r="O241" s="20"/>
      <c r="P241" s="20"/>
      <c r="R241" s="20"/>
      <c r="S241" s="10"/>
    </row>
    <row r="242" spans="3:19" s="19" customFormat="1" x14ac:dyDescent="0.2">
      <c r="C242" s="29"/>
      <c r="E242" s="10"/>
      <c r="H242" s="10"/>
      <c r="K242" s="10"/>
      <c r="N242" s="10"/>
      <c r="O242" s="20"/>
      <c r="P242" s="20"/>
      <c r="R242" s="20"/>
      <c r="S242" s="10"/>
    </row>
    <row r="243" spans="3:19" s="19" customFormat="1" x14ac:dyDescent="0.2">
      <c r="C243" s="29"/>
      <c r="E243" s="10"/>
      <c r="H243" s="10"/>
      <c r="K243" s="10"/>
      <c r="N243" s="10"/>
      <c r="O243" s="20"/>
      <c r="P243" s="20"/>
      <c r="R243" s="20"/>
      <c r="S243" s="10"/>
    </row>
    <row r="244" spans="3:19" s="19" customFormat="1" x14ac:dyDescent="0.2">
      <c r="C244" s="29"/>
      <c r="E244" s="10"/>
      <c r="H244" s="10"/>
      <c r="K244" s="10"/>
      <c r="N244" s="10"/>
      <c r="O244" s="20"/>
      <c r="P244" s="20"/>
      <c r="R244" s="20"/>
      <c r="S244" s="10"/>
    </row>
    <row r="245" spans="3:19" s="19" customFormat="1" x14ac:dyDescent="0.2">
      <c r="C245" s="29"/>
      <c r="E245" s="10"/>
      <c r="H245" s="10"/>
      <c r="K245" s="10"/>
      <c r="N245" s="10"/>
      <c r="O245" s="20"/>
      <c r="P245" s="20"/>
      <c r="R245" s="20"/>
      <c r="S245" s="10"/>
    </row>
    <row r="246" spans="3:19" s="19" customFormat="1" x14ac:dyDescent="0.2">
      <c r="C246" s="29"/>
      <c r="E246" s="10"/>
      <c r="H246" s="10"/>
      <c r="K246" s="10"/>
      <c r="N246" s="10"/>
      <c r="O246" s="20"/>
      <c r="P246" s="20"/>
      <c r="R246" s="20"/>
      <c r="S246" s="10"/>
    </row>
    <row r="247" spans="3:19" s="19" customFormat="1" x14ac:dyDescent="0.2">
      <c r="C247" s="29"/>
      <c r="E247" s="10"/>
      <c r="H247" s="10"/>
      <c r="K247" s="10"/>
      <c r="N247" s="10"/>
      <c r="O247" s="20"/>
      <c r="P247" s="20"/>
      <c r="R247" s="20"/>
      <c r="S247" s="10"/>
    </row>
    <row r="248" spans="3:19" s="19" customFormat="1" x14ac:dyDescent="0.2">
      <c r="C248" s="29"/>
      <c r="E248" s="10"/>
      <c r="H248" s="10"/>
      <c r="K248" s="10"/>
      <c r="N248" s="10"/>
      <c r="O248" s="20"/>
      <c r="P248" s="20"/>
      <c r="R248" s="20"/>
      <c r="S248" s="10"/>
    </row>
    <row r="249" spans="3:19" s="19" customFormat="1" x14ac:dyDescent="0.2">
      <c r="C249" s="29"/>
      <c r="E249" s="10"/>
      <c r="H249" s="10"/>
      <c r="K249" s="10"/>
      <c r="N249" s="10"/>
      <c r="O249" s="20"/>
      <c r="P249" s="20"/>
      <c r="R249" s="20"/>
      <c r="S249" s="10"/>
    </row>
    <row r="250" spans="3:19" s="19" customFormat="1" x14ac:dyDescent="0.2">
      <c r="C250" s="29"/>
      <c r="E250" s="10"/>
      <c r="H250" s="10"/>
      <c r="K250" s="10"/>
      <c r="N250" s="10"/>
      <c r="O250" s="20"/>
      <c r="P250" s="20"/>
      <c r="R250" s="20"/>
      <c r="S250" s="10"/>
    </row>
    <row r="251" spans="3:19" s="19" customFormat="1" x14ac:dyDescent="0.2">
      <c r="C251" s="29"/>
      <c r="E251" s="10"/>
      <c r="H251" s="10"/>
      <c r="K251" s="10"/>
      <c r="N251" s="10"/>
      <c r="O251" s="20"/>
      <c r="P251" s="20"/>
      <c r="R251" s="20"/>
      <c r="S251" s="10"/>
    </row>
    <row r="252" spans="3:19" s="19" customFormat="1" x14ac:dyDescent="0.2">
      <c r="C252" s="29"/>
      <c r="E252" s="10"/>
      <c r="H252" s="10"/>
      <c r="K252" s="10"/>
      <c r="N252" s="10"/>
      <c r="O252" s="20"/>
      <c r="P252" s="20"/>
      <c r="R252" s="20"/>
      <c r="S252" s="10"/>
    </row>
    <row r="253" spans="3:19" s="19" customFormat="1" x14ac:dyDescent="0.2">
      <c r="C253" s="29"/>
      <c r="E253" s="10"/>
      <c r="H253" s="10"/>
      <c r="K253" s="10"/>
      <c r="N253" s="10"/>
      <c r="O253" s="20"/>
      <c r="P253" s="20"/>
      <c r="R253" s="20"/>
      <c r="S253" s="10"/>
    </row>
    <row r="254" spans="3:19" s="19" customFormat="1" x14ac:dyDescent="0.2">
      <c r="C254" s="29"/>
      <c r="E254" s="10"/>
      <c r="H254" s="10"/>
      <c r="K254" s="10"/>
      <c r="N254" s="10"/>
      <c r="O254" s="20"/>
      <c r="P254" s="20"/>
      <c r="R254" s="20"/>
      <c r="S254" s="10"/>
    </row>
    <row r="255" spans="3:19" s="19" customFormat="1" x14ac:dyDescent="0.2">
      <c r="C255" s="29"/>
      <c r="E255" s="10"/>
      <c r="H255" s="10"/>
      <c r="K255" s="10"/>
      <c r="N255" s="10"/>
      <c r="O255" s="20"/>
      <c r="P255" s="20"/>
      <c r="R255" s="20"/>
      <c r="S255" s="10"/>
    </row>
    <row r="256" spans="3:19" s="19" customFormat="1" x14ac:dyDescent="0.2">
      <c r="C256" s="29"/>
      <c r="E256" s="10"/>
      <c r="H256" s="10"/>
      <c r="K256" s="10"/>
      <c r="N256" s="10"/>
      <c r="O256" s="20"/>
      <c r="P256" s="20"/>
      <c r="R256" s="20"/>
      <c r="S256" s="10"/>
    </row>
    <row r="257" spans="3:19" s="19" customFormat="1" x14ac:dyDescent="0.2">
      <c r="C257" s="29"/>
      <c r="E257" s="10"/>
      <c r="H257" s="10"/>
      <c r="K257" s="10"/>
      <c r="N257" s="10"/>
      <c r="O257" s="20"/>
      <c r="P257" s="20"/>
      <c r="R257" s="20"/>
      <c r="S257" s="10"/>
    </row>
    <row r="258" spans="3:19" s="19" customFormat="1" x14ac:dyDescent="0.2">
      <c r="C258" s="29"/>
      <c r="E258" s="10"/>
      <c r="H258" s="10"/>
      <c r="K258" s="10"/>
      <c r="N258" s="10"/>
      <c r="O258" s="20"/>
      <c r="P258" s="20"/>
      <c r="R258" s="20"/>
      <c r="S258" s="10"/>
    </row>
    <row r="259" spans="3:19" s="19" customFormat="1" x14ac:dyDescent="0.2">
      <c r="C259" s="29"/>
      <c r="E259" s="10"/>
      <c r="H259" s="10"/>
      <c r="K259" s="10"/>
      <c r="N259" s="10"/>
      <c r="O259" s="20"/>
      <c r="P259" s="20"/>
      <c r="R259" s="20"/>
      <c r="S259" s="10"/>
    </row>
    <row r="260" spans="3:19" s="19" customFormat="1" x14ac:dyDescent="0.2">
      <c r="C260" s="29"/>
      <c r="E260" s="10"/>
      <c r="H260" s="10"/>
      <c r="K260" s="10"/>
      <c r="N260" s="10"/>
      <c r="O260" s="20"/>
      <c r="P260" s="20"/>
      <c r="R260" s="20"/>
      <c r="S260" s="10"/>
    </row>
    <row r="261" spans="3:19" s="19" customFormat="1" x14ac:dyDescent="0.2">
      <c r="C261" s="29"/>
      <c r="E261" s="10"/>
      <c r="H261" s="10"/>
      <c r="K261" s="10"/>
      <c r="N261" s="10"/>
      <c r="O261" s="20"/>
      <c r="P261" s="20"/>
      <c r="R261" s="20"/>
      <c r="S261" s="10"/>
    </row>
    <row r="262" spans="3:19" s="19" customFormat="1" x14ac:dyDescent="0.2">
      <c r="C262" s="29"/>
      <c r="E262" s="10"/>
      <c r="H262" s="10"/>
      <c r="K262" s="10"/>
      <c r="N262" s="10"/>
      <c r="O262" s="20"/>
      <c r="P262" s="20"/>
      <c r="R262" s="20"/>
      <c r="S262" s="10"/>
    </row>
    <row r="263" spans="3:19" s="19" customFormat="1" x14ac:dyDescent="0.2">
      <c r="C263" s="29"/>
      <c r="E263" s="10"/>
      <c r="H263" s="10"/>
      <c r="K263" s="10"/>
      <c r="N263" s="10"/>
      <c r="O263" s="20"/>
      <c r="P263" s="20"/>
      <c r="R263" s="20"/>
      <c r="S263" s="10"/>
    </row>
    <row r="264" spans="3:19" s="19" customFormat="1" x14ac:dyDescent="0.2">
      <c r="C264" s="29"/>
      <c r="E264" s="10"/>
      <c r="H264" s="10"/>
      <c r="K264" s="10"/>
      <c r="N264" s="10"/>
      <c r="O264" s="20"/>
      <c r="P264" s="20"/>
      <c r="R264" s="20"/>
      <c r="S264" s="10"/>
    </row>
    <row r="265" spans="3:19" s="19" customFormat="1" x14ac:dyDescent="0.2">
      <c r="C265" s="29"/>
      <c r="E265" s="10"/>
      <c r="H265" s="10"/>
      <c r="K265" s="10"/>
      <c r="N265" s="10"/>
      <c r="O265" s="20"/>
      <c r="P265" s="20"/>
      <c r="R265" s="20"/>
      <c r="S265" s="10"/>
    </row>
    <row r="266" spans="3:19" s="19" customFormat="1" x14ac:dyDescent="0.2">
      <c r="C266" s="29"/>
      <c r="E266" s="10"/>
      <c r="H266" s="10"/>
      <c r="K266" s="10"/>
      <c r="N266" s="10"/>
      <c r="O266" s="20"/>
      <c r="P266" s="20"/>
      <c r="R266" s="20"/>
      <c r="S266" s="10"/>
    </row>
    <row r="267" spans="3:19" s="19" customFormat="1" x14ac:dyDescent="0.2">
      <c r="C267" s="29"/>
      <c r="E267" s="10"/>
      <c r="H267" s="10"/>
      <c r="K267" s="10"/>
      <c r="N267" s="10"/>
      <c r="O267" s="20"/>
      <c r="P267" s="20"/>
      <c r="R267" s="20"/>
      <c r="S267" s="10"/>
    </row>
    <row r="268" spans="3:19" s="19" customFormat="1" x14ac:dyDescent="0.2">
      <c r="C268" s="29"/>
      <c r="E268" s="10"/>
      <c r="H268" s="10"/>
      <c r="K268" s="10"/>
      <c r="N268" s="10"/>
      <c r="O268" s="20"/>
      <c r="P268" s="20"/>
      <c r="R268" s="20"/>
      <c r="S268" s="10"/>
    </row>
    <row r="269" spans="3:19" s="19" customFormat="1" x14ac:dyDescent="0.2">
      <c r="C269" s="29"/>
      <c r="E269" s="10"/>
      <c r="H269" s="10"/>
      <c r="K269" s="10"/>
      <c r="N269" s="10"/>
      <c r="O269" s="20"/>
      <c r="P269" s="20"/>
      <c r="R269" s="20"/>
      <c r="S269" s="10"/>
    </row>
    <row r="270" spans="3:19" s="19" customFormat="1" x14ac:dyDescent="0.2">
      <c r="C270" s="29"/>
      <c r="E270" s="10"/>
      <c r="H270" s="10"/>
      <c r="K270" s="10"/>
      <c r="N270" s="10"/>
      <c r="O270" s="20"/>
      <c r="P270" s="20"/>
      <c r="R270" s="20"/>
      <c r="S270" s="10"/>
    </row>
    <row r="271" spans="3:19" s="19" customFormat="1" x14ac:dyDescent="0.2">
      <c r="C271" s="29"/>
      <c r="E271" s="10"/>
      <c r="H271" s="10"/>
      <c r="K271" s="10"/>
      <c r="N271" s="10"/>
      <c r="O271" s="20"/>
      <c r="P271" s="20"/>
      <c r="R271" s="20"/>
      <c r="S271" s="10"/>
    </row>
    <row r="272" spans="3:19" s="19" customFormat="1" x14ac:dyDescent="0.2">
      <c r="C272" s="29"/>
      <c r="E272" s="10"/>
      <c r="H272" s="10"/>
      <c r="K272" s="10"/>
      <c r="N272" s="10"/>
      <c r="O272" s="20"/>
      <c r="P272" s="20"/>
      <c r="R272" s="20"/>
      <c r="S272" s="10"/>
    </row>
    <row r="273" spans="3:19" s="19" customFormat="1" x14ac:dyDescent="0.2">
      <c r="C273" s="29"/>
      <c r="E273" s="10"/>
      <c r="H273" s="10"/>
      <c r="K273" s="10"/>
      <c r="N273" s="10"/>
      <c r="O273" s="20"/>
      <c r="P273" s="20"/>
      <c r="R273" s="20"/>
      <c r="S273" s="10"/>
    </row>
    <row r="274" spans="3:19" s="19" customFormat="1" x14ac:dyDescent="0.2">
      <c r="C274" s="29"/>
      <c r="E274" s="10"/>
      <c r="H274" s="10"/>
      <c r="K274" s="10"/>
      <c r="N274" s="10"/>
      <c r="O274" s="20"/>
      <c r="P274" s="20"/>
      <c r="R274" s="20"/>
      <c r="S274" s="10"/>
    </row>
    <row r="275" spans="3:19" s="19" customFormat="1" x14ac:dyDescent="0.2">
      <c r="C275" s="29"/>
      <c r="E275" s="10"/>
      <c r="H275" s="10"/>
      <c r="K275" s="10"/>
      <c r="N275" s="10"/>
      <c r="O275" s="20"/>
      <c r="P275" s="20"/>
      <c r="R275" s="20"/>
      <c r="S275" s="10"/>
    </row>
    <row r="276" spans="3:19" s="19" customFormat="1" x14ac:dyDescent="0.2">
      <c r="C276" s="29"/>
      <c r="E276" s="10"/>
      <c r="H276" s="10"/>
      <c r="K276" s="10"/>
      <c r="N276" s="10"/>
      <c r="O276" s="20"/>
      <c r="P276" s="20"/>
      <c r="R276" s="20"/>
      <c r="S276" s="10"/>
    </row>
    <row r="277" spans="3:19" s="19" customFormat="1" x14ac:dyDescent="0.2">
      <c r="C277" s="29"/>
      <c r="E277" s="10"/>
      <c r="H277" s="10"/>
      <c r="K277" s="10"/>
      <c r="N277" s="10"/>
      <c r="O277" s="20"/>
      <c r="P277" s="20"/>
      <c r="R277" s="20"/>
      <c r="S277" s="10"/>
    </row>
    <row r="278" spans="3:19" s="19" customFormat="1" x14ac:dyDescent="0.2">
      <c r="C278" s="29"/>
      <c r="E278" s="10"/>
      <c r="H278" s="10"/>
      <c r="K278" s="10"/>
      <c r="N278" s="10"/>
      <c r="O278" s="20"/>
      <c r="P278" s="20"/>
      <c r="R278" s="20"/>
      <c r="S278" s="10"/>
    </row>
    <row r="279" spans="3:19" s="19" customFormat="1" x14ac:dyDescent="0.2">
      <c r="C279" s="29"/>
      <c r="E279" s="10"/>
      <c r="H279" s="10"/>
      <c r="K279" s="10"/>
      <c r="N279" s="10"/>
      <c r="O279" s="20"/>
      <c r="P279" s="20"/>
      <c r="R279" s="20"/>
      <c r="S279" s="10"/>
    </row>
    <row r="280" spans="3:19" s="19" customFormat="1" x14ac:dyDescent="0.2">
      <c r="C280" s="29"/>
      <c r="E280" s="10"/>
      <c r="H280" s="10"/>
      <c r="K280" s="10"/>
      <c r="N280" s="10"/>
      <c r="O280" s="20"/>
      <c r="P280" s="20"/>
      <c r="R280" s="20"/>
      <c r="S280" s="10"/>
    </row>
    <row r="281" spans="3:19" s="19" customFormat="1" x14ac:dyDescent="0.2">
      <c r="C281" s="29"/>
      <c r="E281" s="10"/>
      <c r="H281" s="10"/>
      <c r="K281" s="10"/>
      <c r="N281" s="10"/>
      <c r="O281" s="20"/>
      <c r="P281" s="20"/>
      <c r="R281" s="20"/>
      <c r="S281" s="10"/>
    </row>
    <row r="282" spans="3:19" s="19" customFormat="1" x14ac:dyDescent="0.2">
      <c r="C282" s="29"/>
      <c r="E282" s="10"/>
      <c r="H282" s="10"/>
      <c r="K282" s="10"/>
      <c r="N282" s="10"/>
      <c r="O282" s="20"/>
      <c r="P282" s="20"/>
      <c r="R282" s="20"/>
      <c r="S282" s="10"/>
    </row>
    <row r="283" spans="3:19" s="19" customFormat="1" x14ac:dyDescent="0.2">
      <c r="C283" s="29"/>
      <c r="E283" s="10"/>
      <c r="H283" s="10"/>
      <c r="K283" s="10"/>
      <c r="N283" s="10"/>
      <c r="O283" s="20"/>
      <c r="P283" s="20"/>
      <c r="R283" s="20"/>
      <c r="S283" s="10"/>
    </row>
    <row r="284" spans="3:19" s="19" customFormat="1" x14ac:dyDescent="0.2">
      <c r="C284" s="29"/>
      <c r="E284" s="10"/>
      <c r="H284" s="10"/>
      <c r="K284" s="10"/>
      <c r="N284" s="10"/>
      <c r="O284" s="20"/>
      <c r="P284" s="20"/>
      <c r="R284" s="20"/>
      <c r="S284" s="10"/>
    </row>
    <row r="285" spans="3:19" s="19" customFormat="1" x14ac:dyDescent="0.2">
      <c r="C285" s="29"/>
      <c r="E285" s="10"/>
      <c r="H285" s="10"/>
      <c r="K285" s="10"/>
      <c r="N285" s="10"/>
      <c r="O285" s="20"/>
      <c r="P285" s="20"/>
      <c r="R285" s="20"/>
      <c r="S285" s="10"/>
    </row>
    <row r="286" spans="3:19" s="19" customFormat="1" x14ac:dyDescent="0.2">
      <c r="C286" s="29"/>
      <c r="E286" s="10"/>
      <c r="H286" s="10"/>
      <c r="K286" s="10"/>
      <c r="N286" s="10"/>
      <c r="O286" s="20"/>
      <c r="P286" s="20"/>
      <c r="R286" s="20"/>
      <c r="S286" s="10"/>
    </row>
    <row r="287" spans="3:19" s="19" customFormat="1" x14ac:dyDescent="0.2">
      <c r="C287" s="29"/>
      <c r="E287" s="10"/>
      <c r="H287" s="10"/>
      <c r="K287" s="10"/>
      <c r="N287" s="10"/>
      <c r="O287" s="20"/>
      <c r="P287" s="20"/>
      <c r="R287" s="20"/>
      <c r="S287" s="10"/>
    </row>
    <row r="288" spans="3:19" s="19" customFormat="1" x14ac:dyDescent="0.2">
      <c r="C288" s="29"/>
      <c r="E288" s="10"/>
      <c r="H288" s="10"/>
      <c r="K288" s="10"/>
      <c r="N288" s="10"/>
      <c r="O288" s="20"/>
      <c r="P288" s="20"/>
      <c r="R288" s="20"/>
      <c r="S288" s="10"/>
    </row>
    <row r="289" spans="3:19" s="19" customFormat="1" x14ac:dyDescent="0.2">
      <c r="C289" s="29"/>
      <c r="E289" s="10"/>
      <c r="H289" s="10"/>
      <c r="K289" s="10"/>
      <c r="N289" s="10"/>
      <c r="O289" s="20"/>
      <c r="P289" s="20"/>
      <c r="R289" s="20"/>
      <c r="S289" s="10"/>
    </row>
    <row r="290" spans="3:19" s="19" customFormat="1" x14ac:dyDescent="0.2">
      <c r="C290" s="29"/>
      <c r="E290" s="10"/>
      <c r="H290" s="10"/>
      <c r="K290" s="10"/>
      <c r="N290" s="10"/>
      <c r="O290" s="20"/>
      <c r="P290" s="20"/>
      <c r="R290" s="20"/>
      <c r="S290" s="10"/>
    </row>
    <row r="291" spans="3:19" s="19" customFormat="1" x14ac:dyDescent="0.2">
      <c r="C291" s="29"/>
      <c r="E291" s="10"/>
      <c r="H291" s="10"/>
      <c r="K291" s="10"/>
      <c r="N291" s="10"/>
      <c r="O291" s="20"/>
      <c r="P291" s="20"/>
      <c r="R291" s="20"/>
      <c r="S291" s="10"/>
    </row>
    <row r="292" spans="3:19" s="19" customFormat="1" x14ac:dyDescent="0.2">
      <c r="C292" s="29"/>
      <c r="E292" s="10"/>
      <c r="H292" s="10"/>
      <c r="K292" s="10"/>
      <c r="N292" s="10"/>
      <c r="O292" s="20"/>
      <c r="P292" s="20"/>
      <c r="R292" s="20"/>
      <c r="S292" s="10"/>
    </row>
    <row r="293" spans="3:19" s="19" customFormat="1" x14ac:dyDescent="0.2">
      <c r="C293" s="29"/>
      <c r="E293" s="10"/>
      <c r="H293" s="10"/>
      <c r="K293" s="10"/>
      <c r="N293" s="10"/>
      <c r="O293" s="20"/>
      <c r="P293" s="20"/>
      <c r="R293" s="20"/>
      <c r="S293" s="10"/>
    </row>
    <row r="294" spans="3:19" s="19" customFormat="1" x14ac:dyDescent="0.2">
      <c r="C294" s="29"/>
      <c r="E294" s="10"/>
      <c r="H294" s="10"/>
      <c r="K294" s="10"/>
      <c r="N294" s="10"/>
      <c r="O294" s="20"/>
      <c r="P294" s="20"/>
      <c r="R294" s="20"/>
      <c r="S294" s="10"/>
    </row>
    <row r="295" spans="3:19" s="19" customFormat="1" x14ac:dyDescent="0.2">
      <c r="C295" s="29"/>
      <c r="E295" s="10"/>
      <c r="H295" s="10"/>
      <c r="K295" s="10"/>
      <c r="N295" s="10"/>
      <c r="O295" s="20"/>
      <c r="P295" s="20"/>
      <c r="R295" s="20"/>
      <c r="S295" s="10"/>
    </row>
    <row r="296" spans="3:19" s="19" customFormat="1" x14ac:dyDescent="0.2">
      <c r="C296" s="29"/>
      <c r="E296" s="10"/>
      <c r="H296" s="10"/>
      <c r="K296" s="10"/>
      <c r="N296" s="10"/>
      <c r="O296" s="20"/>
      <c r="P296" s="20"/>
      <c r="R296" s="20"/>
      <c r="S296" s="10"/>
    </row>
    <row r="297" spans="3:19" s="19" customFormat="1" x14ac:dyDescent="0.2">
      <c r="C297" s="29"/>
      <c r="E297" s="10"/>
      <c r="H297" s="10"/>
      <c r="K297" s="10"/>
      <c r="N297" s="10"/>
      <c r="O297" s="20"/>
      <c r="P297" s="20"/>
      <c r="R297" s="20"/>
      <c r="S297" s="10"/>
    </row>
    <row r="298" spans="3:19" s="19" customFormat="1" x14ac:dyDescent="0.2">
      <c r="C298" s="29"/>
      <c r="E298" s="10"/>
      <c r="H298" s="10"/>
      <c r="K298" s="10"/>
      <c r="N298" s="10"/>
      <c r="O298" s="20"/>
      <c r="P298" s="20"/>
      <c r="R298" s="20"/>
      <c r="S298" s="10"/>
    </row>
    <row r="299" spans="3:19" s="19" customFormat="1" x14ac:dyDescent="0.2">
      <c r="C299" s="29"/>
      <c r="E299" s="10"/>
      <c r="H299" s="10"/>
      <c r="K299" s="10"/>
      <c r="N299" s="10"/>
      <c r="O299" s="20"/>
      <c r="P299" s="20"/>
      <c r="R299" s="20"/>
      <c r="S299" s="10"/>
    </row>
    <row r="300" spans="3:19" s="19" customFormat="1" x14ac:dyDescent="0.2">
      <c r="C300" s="29"/>
      <c r="E300" s="10"/>
      <c r="H300" s="10"/>
      <c r="K300" s="10"/>
      <c r="N300" s="10"/>
      <c r="O300" s="20"/>
      <c r="P300" s="20"/>
      <c r="R300" s="20"/>
      <c r="S300" s="10"/>
    </row>
    <row r="301" spans="3:19" s="19" customFormat="1" x14ac:dyDescent="0.2">
      <c r="C301" s="29"/>
      <c r="E301" s="10"/>
      <c r="H301" s="10"/>
      <c r="K301" s="10"/>
      <c r="N301" s="10"/>
      <c r="O301" s="20"/>
      <c r="P301" s="20"/>
      <c r="R301" s="20"/>
      <c r="S301" s="10"/>
    </row>
    <row r="302" spans="3:19" s="19" customFormat="1" x14ac:dyDescent="0.2">
      <c r="C302" s="29"/>
      <c r="E302" s="10"/>
      <c r="H302" s="10"/>
      <c r="K302" s="10"/>
      <c r="N302" s="10"/>
      <c r="O302" s="20"/>
      <c r="P302" s="20"/>
      <c r="R302" s="20"/>
      <c r="S302" s="10"/>
    </row>
    <row r="303" spans="3:19" s="19" customFormat="1" x14ac:dyDescent="0.2">
      <c r="C303" s="29"/>
      <c r="E303" s="10"/>
      <c r="H303" s="10"/>
      <c r="K303" s="10"/>
      <c r="N303" s="10"/>
      <c r="O303" s="20"/>
      <c r="P303" s="20"/>
      <c r="R303" s="20"/>
      <c r="S303" s="10"/>
    </row>
    <row r="304" spans="3:19" s="19" customFormat="1" x14ac:dyDescent="0.2">
      <c r="C304" s="29"/>
      <c r="E304" s="10"/>
      <c r="H304" s="10"/>
      <c r="K304" s="10"/>
      <c r="N304" s="10"/>
      <c r="O304" s="20"/>
      <c r="P304" s="20"/>
      <c r="R304" s="20"/>
      <c r="S304" s="10"/>
    </row>
    <row r="305" spans="3:19" s="19" customFormat="1" x14ac:dyDescent="0.2">
      <c r="C305" s="29"/>
      <c r="E305" s="10"/>
      <c r="H305" s="10"/>
      <c r="K305" s="10"/>
      <c r="N305" s="10"/>
      <c r="O305" s="20"/>
      <c r="P305" s="20"/>
      <c r="R305" s="20"/>
      <c r="S305" s="10"/>
    </row>
    <row r="306" spans="3:19" s="19" customFormat="1" x14ac:dyDescent="0.2">
      <c r="C306" s="29"/>
      <c r="E306" s="10"/>
      <c r="H306" s="10"/>
      <c r="K306" s="10"/>
      <c r="N306" s="10"/>
      <c r="O306" s="20"/>
      <c r="P306" s="20"/>
      <c r="R306" s="20"/>
      <c r="S306" s="10"/>
    </row>
    <row r="307" spans="3:19" s="19" customFormat="1" x14ac:dyDescent="0.2">
      <c r="C307" s="29"/>
      <c r="E307" s="10"/>
      <c r="H307" s="10"/>
      <c r="K307" s="10"/>
      <c r="N307" s="10"/>
      <c r="O307" s="20"/>
      <c r="P307" s="20"/>
      <c r="R307" s="20"/>
      <c r="S307" s="10"/>
    </row>
    <row r="308" spans="3:19" s="19" customFormat="1" x14ac:dyDescent="0.2">
      <c r="C308" s="29"/>
      <c r="E308" s="10"/>
      <c r="H308" s="10"/>
      <c r="K308" s="10"/>
      <c r="N308" s="10"/>
      <c r="O308" s="20"/>
      <c r="P308" s="20"/>
      <c r="R308" s="20"/>
      <c r="S308" s="10"/>
    </row>
    <row r="309" spans="3:19" s="19" customFormat="1" x14ac:dyDescent="0.2">
      <c r="C309" s="29"/>
      <c r="E309" s="10"/>
      <c r="H309" s="10"/>
      <c r="K309" s="10"/>
      <c r="N309" s="10"/>
      <c r="O309" s="20"/>
      <c r="P309" s="20"/>
      <c r="R309" s="20"/>
      <c r="S309" s="10"/>
    </row>
    <row r="310" spans="3:19" s="19" customFormat="1" x14ac:dyDescent="0.2">
      <c r="C310" s="29"/>
      <c r="E310" s="10"/>
      <c r="H310" s="10"/>
      <c r="K310" s="10"/>
      <c r="N310" s="10"/>
      <c r="O310" s="20"/>
      <c r="P310" s="20"/>
      <c r="R310" s="20"/>
      <c r="S310" s="10"/>
    </row>
    <row r="311" spans="3:19" s="19" customFormat="1" x14ac:dyDescent="0.2">
      <c r="C311" s="29"/>
      <c r="E311" s="10"/>
      <c r="H311" s="10"/>
      <c r="K311" s="10"/>
      <c r="N311" s="10"/>
      <c r="O311" s="20"/>
      <c r="P311" s="20"/>
      <c r="R311" s="20"/>
      <c r="S311" s="10"/>
    </row>
    <row r="312" spans="3:19" s="19" customFormat="1" x14ac:dyDescent="0.2">
      <c r="C312" s="29"/>
      <c r="E312" s="10"/>
      <c r="H312" s="10"/>
      <c r="K312" s="10"/>
      <c r="N312" s="10"/>
      <c r="O312" s="20"/>
      <c r="P312" s="20"/>
      <c r="R312" s="20"/>
      <c r="S312" s="10"/>
    </row>
    <row r="313" spans="3:19" s="19" customFormat="1" x14ac:dyDescent="0.2">
      <c r="C313" s="29"/>
      <c r="E313" s="10"/>
      <c r="H313" s="10"/>
      <c r="K313" s="10"/>
      <c r="N313" s="10"/>
      <c r="O313" s="20"/>
      <c r="P313" s="20"/>
      <c r="R313" s="20"/>
      <c r="S313" s="10"/>
    </row>
    <row r="314" spans="3:19" s="19" customFormat="1" x14ac:dyDescent="0.2">
      <c r="C314" s="29"/>
      <c r="E314" s="10"/>
      <c r="H314" s="10"/>
      <c r="K314" s="10"/>
      <c r="N314" s="10"/>
      <c r="O314" s="20"/>
      <c r="P314" s="20"/>
      <c r="R314" s="20"/>
      <c r="S314" s="10"/>
    </row>
    <row r="315" spans="3:19" s="19" customFormat="1" x14ac:dyDescent="0.2">
      <c r="C315" s="29"/>
      <c r="E315" s="10"/>
      <c r="H315" s="10"/>
      <c r="K315" s="10"/>
      <c r="N315" s="10"/>
      <c r="O315" s="20"/>
      <c r="P315" s="20"/>
      <c r="R315" s="20"/>
      <c r="S315" s="10"/>
    </row>
    <row r="316" spans="3:19" s="19" customFormat="1" x14ac:dyDescent="0.2">
      <c r="C316" s="29"/>
      <c r="E316" s="10"/>
      <c r="H316" s="10"/>
      <c r="K316" s="10"/>
      <c r="N316" s="10"/>
      <c r="O316" s="20"/>
      <c r="P316" s="20"/>
      <c r="R316" s="20"/>
      <c r="S316" s="10"/>
    </row>
    <row r="317" spans="3:19" s="19" customFormat="1" x14ac:dyDescent="0.2">
      <c r="C317" s="29"/>
      <c r="E317" s="10"/>
      <c r="H317" s="10"/>
      <c r="K317" s="10"/>
      <c r="N317" s="10"/>
      <c r="O317" s="20"/>
      <c r="P317" s="20"/>
      <c r="R317" s="20"/>
      <c r="S317" s="10"/>
    </row>
    <row r="318" spans="3:19" s="19" customFormat="1" x14ac:dyDescent="0.2">
      <c r="C318" s="29"/>
      <c r="E318" s="10"/>
      <c r="H318" s="10"/>
      <c r="K318" s="10"/>
      <c r="N318" s="10"/>
      <c r="O318" s="20"/>
      <c r="P318" s="20"/>
      <c r="R318" s="20"/>
      <c r="S318" s="10"/>
    </row>
    <row r="319" spans="3:19" s="19" customFormat="1" x14ac:dyDescent="0.2">
      <c r="C319" s="29"/>
      <c r="E319" s="10"/>
      <c r="H319" s="10"/>
      <c r="K319" s="10"/>
      <c r="N319" s="10"/>
      <c r="O319" s="20"/>
      <c r="P319" s="20"/>
      <c r="R319" s="20"/>
      <c r="S319" s="10"/>
    </row>
    <row r="320" spans="3:19" s="19" customFormat="1" x14ac:dyDescent="0.2">
      <c r="C320" s="29"/>
      <c r="E320" s="10"/>
      <c r="H320" s="10"/>
      <c r="K320" s="10"/>
      <c r="N320" s="10"/>
      <c r="O320" s="20"/>
      <c r="P320" s="20"/>
      <c r="R320" s="20"/>
      <c r="S320" s="10"/>
    </row>
    <row r="321" spans="3:19" s="19" customFormat="1" x14ac:dyDescent="0.2">
      <c r="C321" s="29"/>
      <c r="E321" s="10"/>
      <c r="H321" s="10"/>
      <c r="K321" s="10"/>
      <c r="N321" s="10"/>
      <c r="O321" s="20"/>
      <c r="P321" s="20"/>
      <c r="R321" s="20"/>
      <c r="S321" s="10"/>
    </row>
    <row r="322" spans="3:19" s="19" customFormat="1" x14ac:dyDescent="0.2">
      <c r="C322" s="29"/>
      <c r="E322" s="10"/>
      <c r="H322" s="10"/>
      <c r="K322" s="10"/>
      <c r="N322" s="10"/>
      <c r="O322" s="20"/>
      <c r="P322" s="20"/>
      <c r="R322" s="20"/>
      <c r="S322" s="10"/>
    </row>
    <row r="323" spans="3:19" s="19" customFormat="1" x14ac:dyDescent="0.2">
      <c r="C323" s="29"/>
      <c r="E323" s="10"/>
      <c r="H323" s="10"/>
      <c r="K323" s="10"/>
      <c r="N323" s="10"/>
      <c r="O323" s="20"/>
      <c r="P323" s="20"/>
      <c r="R323" s="20"/>
      <c r="S323" s="10"/>
    </row>
    <row r="324" spans="3:19" s="19" customFormat="1" x14ac:dyDescent="0.2">
      <c r="C324" s="29"/>
      <c r="E324" s="10"/>
      <c r="H324" s="10"/>
      <c r="K324" s="10"/>
      <c r="N324" s="10"/>
      <c r="O324" s="20"/>
      <c r="P324" s="20"/>
      <c r="R324" s="20"/>
      <c r="S324" s="10"/>
    </row>
    <row r="325" spans="3:19" s="19" customFormat="1" x14ac:dyDescent="0.2">
      <c r="C325" s="29"/>
      <c r="E325" s="10"/>
      <c r="H325" s="10"/>
      <c r="K325" s="10"/>
      <c r="N325" s="10"/>
      <c r="O325" s="20"/>
      <c r="P325" s="20"/>
      <c r="R325" s="20"/>
      <c r="S325" s="10"/>
    </row>
    <row r="326" spans="3:19" s="19" customFormat="1" x14ac:dyDescent="0.2">
      <c r="C326" s="29"/>
      <c r="E326" s="10"/>
      <c r="H326" s="10"/>
      <c r="K326" s="10"/>
      <c r="N326" s="10"/>
      <c r="O326" s="20"/>
      <c r="P326" s="20"/>
      <c r="R326" s="20"/>
      <c r="S326" s="10"/>
    </row>
    <row r="327" spans="3:19" s="19" customFormat="1" x14ac:dyDescent="0.2">
      <c r="C327" s="29"/>
      <c r="E327" s="10"/>
      <c r="H327" s="10"/>
      <c r="K327" s="10"/>
      <c r="N327" s="10"/>
      <c r="O327" s="20"/>
      <c r="P327" s="20"/>
      <c r="R327" s="20"/>
      <c r="S327" s="10"/>
    </row>
    <row r="328" spans="3:19" s="19" customFormat="1" x14ac:dyDescent="0.2">
      <c r="C328" s="29"/>
      <c r="E328" s="10"/>
      <c r="H328" s="10"/>
      <c r="K328" s="10"/>
      <c r="N328" s="10"/>
      <c r="O328" s="20"/>
      <c r="P328" s="20"/>
      <c r="R328" s="20"/>
      <c r="S328" s="10"/>
    </row>
    <row r="329" spans="3:19" s="19" customFormat="1" x14ac:dyDescent="0.2">
      <c r="C329" s="29"/>
      <c r="E329" s="10"/>
      <c r="H329" s="10"/>
      <c r="K329" s="10"/>
      <c r="N329" s="10"/>
      <c r="O329" s="20"/>
      <c r="P329" s="20"/>
      <c r="R329" s="20"/>
      <c r="S329" s="10"/>
    </row>
    <row r="330" spans="3:19" s="19" customFormat="1" x14ac:dyDescent="0.2">
      <c r="C330" s="29"/>
      <c r="E330" s="10"/>
      <c r="H330" s="10"/>
      <c r="K330" s="10"/>
      <c r="N330" s="10"/>
      <c r="O330" s="20"/>
      <c r="P330" s="20"/>
      <c r="R330" s="20"/>
      <c r="S330" s="10"/>
    </row>
    <row r="331" spans="3:19" s="19" customFormat="1" x14ac:dyDescent="0.2">
      <c r="C331" s="29"/>
      <c r="E331" s="10"/>
      <c r="H331" s="10"/>
      <c r="K331" s="10"/>
      <c r="N331" s="10"/>
      <c r="O331" s="20"/>
      <c r="P331" s="20"/>
      <c r="R331" s="20"/>
      <c r="S331" s="10"/>
    </row>
    <row r="332" spans="3:19" s="19" customFormat="1" x14ac:dyDescent="0.2">
      <c r="C332" s="29"/>
      <c r="E332" s="10"/>
      <c r="H332" s="10"/>
      <c r="K332" s="10"/>
      <c r="N332" s="10"/>
      <c r="O332" s="20"/>
      <c r="P332" s="20"/>
      <c r="R332" s="20"/>
      <c r="S332" s="10"/>
    </row>
    <row r="333" spans="3:19" s="19" customFormat="1" x14ac:dyDescent="0.2">
      <c r="C333" s="29"/>
      <c r="E333" s="10"/>
      <c r="H333" s="10"/>
      <c r="K333" s="10"/>
      <c r="N333" s="10"/>
      <c r="O333" s="20"/>
      <c r="P333" s="20"/>
      <c r="R333" s="20"/>
      <c r="S333" s="10"/>
    </row>
    <row r="334" spans="3:19" s="19" customFormat="1" x14ac:dyDescent="0.2">
      <c r="C334" s="29"/>
      <c r="E334" s="10"/>
      <c r="H334" s="10"/>
      <c r="K334" s="10"/>
      <c r="N334" s="10"/>
      <c r="O334" s="20"/>
      <c r="P334" s="20"/>
      <c r="R334" s="20"/>
      <c r="S334" s="10"/>
    </row>
    <row r="335" spans="3:19" s="19" customFormat="1" x14ac:dyDescent="0.2">
      <c r="C335" s="29"/>
      <c r="E335" s="10"/>
      <c r="H335" s="10"/>
      <c r="K335" s="10"/>
      <c r="N335" s="10"/>
      <c r="O335" s="20"/>
      <c r="P335" s="20"/>
      <c r="R335" s="20"/>
      <c r="S335" s="10"/>
    </row>
    <row r="336" spans="3:19" s="19" customFormat="1" x14ac:dyDescent="0.2">
      <c r="C336" s="29"/>
      <c r="E336" s="10"/>
      <c r="H336" s="10"/>
      <c r="K336" s="10"/>
      <c r="N336" s="10"/>
      <c r="O336" s="20"/>
      <c r="P336" s="20"/>
      <c r="R336" s="20"/>
      <c r="S336" s="10"/>
    </row>
    <row r="337" spans="3:19" s="19" customFormat="1" x14ac:dyDescent="0.2">
      <c r="C337" s="29"/>
      <c r="E337" s="10"/>
      <c r="H337" s="10"/>
      <c r="K337" s="10"/>
      <c r="N337" s="10"/>
      <c r="O337" s="20"/>
      <c r="P337" s="20"/>
      <c r="R337" s="20"/>
      <c r="S337" s="10"/>
    </row>
    <row r="338" spans="3:19" s="19" customFormat="1" x14ac:dyDescent="0.2">
      <c r="C338" s="29"/>
      <c r="E338" s="10"/>
      <c r="H338" s="10"/>
      <c r="K338" s="10"/>
      <c r="N338" s="10"/>
      <c r="O338" s="20"/>
      <c r="P338" s="20"/>
      <c r="R338" s="20"/>
      <c r="S338" s="10"/>
    </row>
    <row r="339" spans="3:19" s="19" customFormat="1" x14ac:dyDescent="0.2">
      <c r="C339" s="29"/>
      <c r="E339" s="10"/>
      <c r="H339" s="10"/>
      <c r="K339" s="10"/>
      <c r="N339" s="10"/>
      <c r="O339" s="20"/>
      <c r="P339" s="20"/>
      <c r="R339" s="20"/>
      <c r="S339" s="10"/>
    </row>
    <row r="340" spans="3:19" s="19" customFormat="1" x14ac:dyDescent="0.2">
      <c r="C340" s="29"/>
      <c r="E340" s="10"/>
      <c r="H340" s="10"/>
      <c r="K340" s="10"/>
      <c r="N340" s="10"/>
      <c r="O340" s="20"/>
      <c r="P340" s="20"/>
      <c r="R340" s="20"/>
      <c r="S340" s="10"/>
    </row>
    <row r="341" spans="3:19" s="19" customFormat="1" x14ac:dyDescent="0.2">
      <c r="C341" s="29"/>
      <c r="E341" s="10"/>
      <c r="H341" s="10"/>
      <c r="K341" s="10"/>
      <c r="N341" s="10"/>
      <c r="O341" s="20"/>
      <c r="P341" s="20"/>
      <c r="R341" s="20"/>
      <c r="S341" s="10"/>
    </row>
    <row r="342" spans="3:19" s="19" customFormat="1" x14ac:dyDescent="0.2">
      <c r="C342" s="29"/>
      <c r="E342" s="10"/>
      <c r="H342" s="10"/>
      <c r="K342" s="10"/>
      <c r="N342" s="10"/>
      <c r="O342" s="20"/>
      <c r="P342" s="20"/>
      <c r="R342" s="20"/>
      <c r="S342" s="10"/>
    </row>
    <row r="343" spans="3:19" s="19" customFormat="1" x14ac:dyDescent="0.2">
      <c r="C343" s="29"/>
      <c r="E343" s="10"/>
      <c r="H343" s="10"/>
      <c r="K343" s="10"/>
      <c r="N343" s="10"/>
      <c r="O343" s="20"/>
      <c r="P343" s="20"/>
      <c r="R343" s="20"/>
      <c r="S343" s="10"/>
    </row>
    <row r="344" spans="3:19" s="19" customFormat="1" x14ac:dyDescent="0.2">
      <c r="C344" s="29"/>
      <c r="E344" s="10"/>
      <c r="H344" s="10"/>
      <c r="K344" s="10"/>
      <c r="N344" s="10"/>
      <c r="O344" s="20"/>
      <c r="P344" s="20"/>
      <c r="R344" s="20"/>
      <c r="S344" s="10"/>
    </row>
    <row r="345" spans="3:19" s="19" customFormat="1" x14ac:dyDescent="0.2">
      <c r="C345" s="29"/>
      <c r="E345" s="10"/>
      <c r="H345" s="10"/>
      <c r="K345" s="10"/>
      <c r="N345" s="10"/>
      <c r="O345" s="20"/>
      <c r="P345" s="20"/>
      <c r="R345" s="20"/>
      <c r="S345" s="10"/>
    </row>
    <row r="346" spans="3:19" s="19" customFormat="1" x14ac:dyDescent="0.2">
      <c r="C346" s="29"/>
      <c r="E346" s="10"/>
      <c r="H346" s="10"/>
      <c r="K346" s="10"/>
      <c r="N346" s="10"/>
      <c r="O346" s="20"/>
      <c r="P346" s="20"/>
      <c r="R346" s="20"/>
      <c r="S346" s="10"/>
    </row>
    <row r="347" spans="3:19" s="19" customFormat="1" x14ac:dyDescent="0.2">
      <c r="C347" s="29"/>
      <c r="E347" s="10"/>
      <c r="H347" s="10"/>
      <c r="K347" s="10"/>
      <c r="N347" s="10"/>
      <c r="O347" s="20"/>
      <c r="P347" s="20"/>
      <c r="R347" s="20"/>
      <c r="S347" s="10"/>
    </row>
    <row r="348" spans="3:19" s="19" customFormat="1" x14ac:dyDescent="0.2">
      <c r="C348" s="29"/>
      <c r="E348" s="10"/>
      <c r="H348" s="10"/>
      <c r="K348" s="10"/>
      <c r="N348" s="10"/>
      <c r="O348" s="20"/>
      <c r="P348" s="20"/>
      <c r="R348" s="20"/>
      <c r="S348" s="10"/>
    </row>
    <row r="349" spans="3:19" s="19" customFormat="1" x14ac:dyDescent="0.2">
      <c r="C349" s="29"/>
      <c r="E349" s="10"/>
      <c r="H349" s="10"/>
      <c r="K349" s="10"/>
      <c r="N349" s="10"/>
      <c r="O349" s="20"/>
      <c r="P349" s="20"/>
      <c r="R349" s="20"/>
      <c r="S349" s="10"/>
    </row>
    <row r="350" spans="3:19" s="19" customFormat="1" x14ac:dyDescent="0.2">
      <c r="C350" s="29"/>
      <c r="E350" s="10"/>
      <c r="H350" s="10"/>
      <c r="K350" s="10"/>
      <c r="N350" s="10"/>
      <c r="O350" s="20"/>
      <c r="P350" s="20"/>
      <c r="R350" s="20"/>
      <c r="S350" s="10"/>
    </row>
    <row r="351" spans="3:19" s="19" customFormat="1" x14ac:dyDescent="0.2">
      <c r="C351" s="29"/>
      <c r="E351" s="10"/>
      <c r="H351" s="10"/>
      <c r="K351" s="10"/>
      <c r="N351" s="10"/>
      <c r="O351" s="20"/>
      <c r="P351" s="20"/>
      <c r="R351" s="20"/>
      <c r="S351" s="10"/>
    </row>
    <row r="352" spans="3:19" s="19" customFormat="1" x14ac:dyDescent="0.2">
      <c r="C352" s="29"/>
      <c r="E352" s="10"/>
      <c r="H352" s="10"/>
      <c r="K352" s="10"/>
      <c r="N352" s="10"/>
      <c r="O352" s="20"/>
      <c r="P352" s="20"/>
      <c r="R352" s="20"/>
      <c r="S352" s="10"/>
    </row>
    <row r="353" spans="3:19" s="19" customFormat="1" x14ac:dyDescent="0.2">
      <c r="C353" s="29"/>
      <c r="E353" s="10"/>
      <c r="H353" s="10"/>
      <c r="K353" s="10"/>
      <c r="N353" s="10"/>
      <c r="O353" s="20"/>
      <c r="P353" s="20"/>
      <c r="R353" s="20"/>
      <c r="S353" s="10"/>
    </row>
    <row r="354" spans="3:19" s="19" customFormat="1" x14ac:dyDescent="0.2">
      <c r="C354" s="29"/>
      <c r="E354" s="10"/>
      <c r="H354" s="10"/>
      <c r="K354" s="10"/>
      <c r="N354" s="10"/>
      <c r="O354" s="20"/>
      <c r="P354" s="20"/>
      <c r="R354" s="20"/>
      <c r="S354" s="10"/>
    </row>
    <row r="355" spans="3:19" s="19" customFormat="1" x14ac:dyDescent="0.2">
      <c r="C355" s="29"/>
      <c r="E355" s="10"/>
      <c r="H355" s="10"/>
      <c r="K355" s="10"/>
      <c r="N355" s="10"/>
      <c r="O355" s="20"/>
      <c r="P355" s="20"/>
      <c r="R355" s="20"/>
      <c r="S355" s="10"/>
    </row>
    <row r="356" spans="3:19" s="19" customFormat="1" x14ac:dyDescent="0.2">
      <c r="C356" s="29"/>
      <c r="E356" s="10"/>
      <c r="H356" s="10"/>
      <c r="K356" s="10"/>
      <c r="N356" s="10"/>
      <c r="O356" s="20"/>
      <c r="P356" s="20"/>
      <c r="R356" s="20"/>
      <c r="S356" s="10"/>
    </row>
    <row r="357" spans="3:19" s="19" customFormat="1" x14ac:dyDescent="0.2">
      <c r="C357" s="29"/>
      <c r="E357" s="10"/>
      <c r="H357" s="10"/>
      <c r="K357" s="10"/>
      <c r="N357" s="10"/>
      <c r="O357" s="20"/>
      <c r="P357" s="20"/>
      <c r="R357" s="20"/>
      <c r="S357" s="10"/>
    </row>
    <row r="358" spans="3:19" s="19" customFormat="1" x14ac:dyDescent="0.2">
      <c r="C358" s="29"/>
      <c r="E358" s="10"/>
      <c r="H358" s="10"/>
      <c r="K358" s="10"/>
      <c r="N358" s="10"/>
      <c r="O358" s="20"/>
      <c r="P358" s="20"/>
      <c r="R358" s="20"/>
      <c r="S358" s="10"/>
    </row>
    <row r="359" spans="3:19" s="19" customFormat="1" x14ac:dyDescent="0.2">
      <c r="C359" s="29"/>
      <c r="E359" s="10"/>
      <c r="H359" s="10"/>
      <c r="K359" s="10"/>
      <c r="N359" s="10"/>
      <c r="O359" s="20"/>
      <c r="P359" s="20"/>
      <c r="R359" s="20"/>
      <c r="S359" s="10"/>
    </row>
    <row r="360" spans="3:19" s="19" customFormat="1" x14ac:dyDescent="0.2">
      <c r="C360" s="29"/>
      <c r="E360" s="10"/>
      <c r="H360" s="10"/>
      <c r="K360" s="10"/>
      <c r="N360" s="10"/>
      <c r="O360" s="20"/>
      <c r="P360" s="20"/>
      <c r="R360" s="20"/>
      <c r="S360" s="10"/>
    </row>
    <row r="361" spans="3:19" s="19" customFormat="1" x14ac:dyDescent="0.2">
      <c r="C361" s="29"/>
      <c r="E361" s="10"/>
      <c r="H361" s="10"/>
      <c r="K361" s="10"/>
      <c r="N361" s="10"/>
      <c r="O361" s="20"/>
      <c r="P361" s="20"/>
      <c r="R361" s="20"/>
      <c r="S361" s="10"/>
    </row>
    <row r="362" spans="3:19" s="19" customFormat="1" x14ac:dyDescent="0.2">
      <c r="C362" s="29"/>
      <c r="E362" s="10"/>
      <c r="H362" s="10"/>
      <c r="K362" s="10"/>
      <c r="N362" s="10"/>
      <c r="O362" s="20"/>
      <c r="P362" s="20"/>
      <c r="R362" s="20"/>
      <c r="S362" s="10"/>
    </row>
    <row r="363" spans="3:19" s="19" customFormat="1" x14ac:dyDescent="0.2">
      <c r="C363" s="29"/>
      <c r="E363" s="10"/>
      <c r="H363" s="10"/>
      <c r="K363" s="10"/>
      <c r="N363" s="10"/>
      <c r="O363" s="20"/>
      <c r="P363" s="20"/>
      <c r="R363" s="20"/>
      <c r="S363" s="10"/>
    </row>
    <row r="364" spans="3:19" s="19" customFormat="1" x14ac:dyDescent="0.2">
      <c r="C364" s="29"/>
      <c r="E364" s="10"/>
      <c r="H364" s="10"/>
      <c r="K364" s="10"/>
      <c r="N364" s="10"/>
      <c r="O364" s="20"/>
      <c r="P364" s="20"/>
      <c r="R364" s="20"/>
      <c r="S364" s="10"/>
    </row>
    <row r="365" spans="3:19" s="19" customFormat="1" x14ac:dyDescent="0.2">
      <c r="C365" s="29"/>
      <c r="E365" s="10"/>
      <c r="H365" s="10"/>
      <c r="K365" s="10"/>
      <c r="N365" s="10"/>
      <c r="O365" s="20"/>
      <c r="P365" s="20"/>
      <c r="R365" s="20"/>
      <c r="S365" s="10"/>
    </row>
    <row r="366" spans="3:19" s="19" customFormat="1" x14ac:dyDescent="0.2">
      <c r="C366" s="29"/>
      <c r="E366" s="10"/>
      <c r="H366" s="10"/>
      <c r="K366" s="10"/>
      <c r="N366" s="10"/>
      <c r="O366" s="20"/>
      <c r="P366" s="20"/>
      <c r="R366" s="20"/>
      <c r="S366" s="10"/>
    </row>
    <row r="367" spans="3:19" s="19" customFormat="1" x14ac:dyDescent="0.2">
      <c r="C367" s="29"/>
      <c r="E367" s="10"/>
      <c r="H367" s="10"/>
      <c r="K367" s="10"/>
      <c r="N367" s="10"/>
      <c r="O367" s="20"/>
      <c r="P367" s="20"/>
      <c r="R367" s="20"/>
      <c r="S367" s="10"/>
    </row>
    <row r="368" spans="3:19" s="19" customFormat="1" x14ac:dyDescent="0.2">
      <c r="C368" s="29"/>
      <c r="E368" s="10"/>
      <c r="H368" s="10"/>
      <c r="K368" s="10"/>
      <c r="N368" s="10"/>
      <c r="O368" s="20"/>
      <c r="P368" s="20"/>
      <c r="R368" s="20"/>
      <c r="S368" s="10"/>
    </row>
    <row r="369" spans="3:19" s="19" customFormat="1" x14ac:dyDescent="0.2">
      <c r="C369" s="29"/>
      <c r="E369" s="10"/>
      <c r="H369" s="10"/>
      <c r="K369" s="10"/>
      <c r="N369" s="10"/>
      <c r="O369" s="20"/>
      <c r="P369" s="20"/>
      <c r="R369" s="20"/>
      <c r="S369" s="10"/>
    </row>
    <row r="370" spans="3:19" s="19" customFormat="1" x14ac:dyDescent="0.2">
      <c r="C370" s="29"/>
      <c r="E370" s="10"/>
      <c r="H370" s="10"/>
      <c r="K370" s="10"/>
      <c r="N370" s="10"/>
      <c r="O370" s="20"/>
      <c r="P370" s="20"/>
      <c r="R370" s="20"/>
      <c r="S370" s="10"/>
    </row>
    <row r="371" spans="3:19" s="19" customFormat="1" x14ac:dyDescent="0.2">
      <c r="C371" s="29"/>
      <c r="E371" s="10"/>
      <c r="H371" s="10"/>
      <c r="K371" s="10"/>
      <c r="N371" s="10"/>
      <c r="O371" s="20"/>
      <c r="P371" s="20"/>
      <c r="R371" s="20"/>
      <c r="S371" s="10"/>
    </row>
    <row r="372" spans="3:19" s="19" customFormat="1" x14ac:dyDescent="0.2">
      <c r="C372" s="29"/>
      <c r="E372" s="10"/>
      <c r="H372" s="10"/>
      <c r="K372" s="10"/>
      <c r="N372" s="10"/>
      <c r="O372" s="20"/>
      <c r="P372" s="20"/>
      <c r="R372" s="20"/>
      <c r="S372" s="10"/>
    </row>
    <row r="373" spans="3:19" s="19" customFormat="1" x14ac:dyDescent="0.2">
      <c r="C373" s="29"/>
      <c r="E373" s="10"/>
      <c r="H373" s="10"/>
      <c r="K373" s="10"/>
      <c r="N373" s="10"/>
      <c r="O373" s="20"/>
      <c r="P373" s="20"/>
      <c r="R373" s="20"/>
      <c r="S373" s="10"/>
    </row>
    <row r="374" spans="3:19" s="19" customFormat="1" x14ac:dyDescent="0.2">
      <c r="C374" s="29"/>
      <c r="E374" s="10"/>
      <c r="H374" s="10"/>
      <c r="K374" s="10"/>
      <c r="N374" s="10"/>
      <c r="O374" s="20"/>
      <c r="P374" s="20"/>
      <c r="R374" s="20"/>
      <c r="S374" s="10"/>
    </row>
    <row r="375" spans="3:19" s="19" customFormat="1" x14ac:dyDescent="0.2">
      <c r="C375" s="29"/>
      <c r="E375" s="10"/>
      <c r="H375" s="10"/>
      <c r="K375" s="10"/>
      <c r="N375" s="10"/>
      <c r="O375" s="20"/>
      <c r="P375" s="20"/>
      <c r="R375" s="20"/>
      <c r="S375" s="10"/>
    </row>
    <row r="376" spans="3:19" s="19" customFormat="1" x14ac:dyDescent="0.2">
      <c r="C376" s="29"/>
      <c r="E376" s="10"/>
      <c r="H376" s="10"/>
      <c r="K376" s="10"/>
      <c r="N376" s="10"/>
      <c r="O376" s="20"/>
      <c r="P376" s="20"/>
      <c r="R376" s="20"/>
      <c r="S376" s="10"/>
    </row>
    <row r="377" spans="3:19" s="19" customFormat="1" x14ac:dyDescent="0.2">
      <c r="C377" s="29"/>
      <c r="E377" s="10"/>
      <c r="H377" s="10"/>
      <c r="K377" s="10"/>
      <c r="N377" s="10"/>
      <c r="O377" s="20"/>
      <c r="P377" s="20"/>
      <c r="R377" s="20"/>
      <c r="S377" s="10"/>
    </row>
    <row r="378" spans="3:19" s="19" customFormat="1" x14ac:dyDescent="0.2">
      <c r="C378" s="29"/>
      <c r="E378" s="10"/>
      <c r="H378" s="10"/>
      <c r="K378" s="10"/>
      <c r="N378" s="10"/>
      <c r="O378" s="20"/>
      <c r="P378" s="20"/>
      <c r="R378" s="20"/>
      <c r="S378" s="10"/>
    </row>
    <row r="379" spans="3:19" s="19" customFormat="1" x14ac:dyDescent="0.2">
      <c r="C379" s="29"/>
      <c r="E379" s="10"/>
      <c r="H379" s="10"/>
      <c r="K379" s="10"/>
      <c r="N379" s="10"/>
      <c r="O379" s="20"/>
      <c r="P379" s="20"/>
      <c r="R379" s="20"/>
      <c r="S379" s="10"/>
    </row>
    <row r="380" spans="3:19" s="19" customFormat="1" x14ac:dyDescent="0.2">
      <c r="C380" s="29"/>
      <c r="E380" s="10"/>
      <c r="H380" s="10"/>
      <c r="K380" s="10"/>
      <c r="N380" s="10"/>
      <c r="O380" s="20"/>
      <c r="P380" s="20"/>
      <c r="R380" s="20"/>
      <c r="S380" s="10"/>
    </row>
    <row r="381" spans="3:19" s="19" customFormat="1" x14ac:dyDescent="0.2">
      <c r="C381" s="29"/>
      <c r="E381" s="10"/>
      <c r="H381" s="10"/>
      <c r="K381" s="10"/>
      <c r="N381" s="10"/>
      <c r="O381" s="20"/>
      <c r="P381" s="20"/>
      <c r="R381" s="20"/>
      <c r="S381" s="10"/>
    </row>
    <row r="382" spans="3:19" s="19" customFormat="1" x14ac:dyDescent="0.2">
      <c r="C382" s="29"/>
      <c r="E382" s="10"/>
      <c r="H382" s="10"/>
      <c r="K382" s="10"/>
      <c r="N382" s="10"/>
      <c r="O382" s="20"/>
      <c r="P382" s="20"/>
      <c r="R382" s="20"/>
      <c r="S382" s="10"/>
    </row>
    <row r="383" spans="3:19" s="19" customFormat="1" x14ac:dyDescent="0.2">
      <c r="C383" s="29"/>
      <c r="E383" s="10"/>
      <c r="H383" s="10"/>
      <c r="K383" s="10"/>
      <c r="N383" s="10"/>
      <c r="O383" s="20"/>
      <c r="P383" s="20"/>
      <c r="R383" s="20"/>
      <c r="S383" s="10"/>
    </row>
    <row r="384" spans="3:19" s="19" customFormat="1" x14ac:dyDescent="0.2">
      <c r="C384" s="29"/>
      <c r="E384" s="10"/>
      <c r="H384" s="10"/>
      <c r="K384" s="10"/>
      <c r="N384" s="10"/>
      <c r="O384" s="20"/>
      <c r="P384" s="20"/>
      <c r="R384" s="20"/>
      <c r="S384" s="10"/>
    </row>
    <row r="385" spans="3:19" s="19" customFormat="1" x14ac:dyDescent="0.2">
      <c r="C385" s="29"/>
      <c r="E385" s="10"/>
      <c r="H385" s="10"/>
      <c r="K385" s="10"/>
      <c r="N385" s="10"/>
      <c r="O385" s="20"/>
      <c r="P385" s="20"/>
      <c r="R385" s="20"/>
      <c r="S385" s="10"/>
    </row>
    <row r="386" spans="3:19" s="19" customFormat="1" x14ac:dyDescent="0.2">
      <c r="C386" s="29"/>
      <c r="E386" s="10"/>
      <c r="H386" s="10"/>
      <c r="K386" s="10"/>
      <c r="N386" s="10"/>
      <c r="O386" s="20"/>
      <c r="P386" s="20"/>
      <c r="R386" s="20"/>
      <c r="S386" s="10"/>
    </row>
    <row r="387" spans="3:19" s="19" customFormat="1" x14ac:dyDescent="0.2">
      <c r="C387" s="29"/>
      <c r="E387" s="10"/>
      <c r="H387" s="10"/>
      <c r="K387" s="10"/>
      <c r="N387" s="10"/>
      <c r="O387" s="20"/>
      <c r="P387" s="20"/>
      <c r="R387" s="20"/>
      <c r="S387" s="10"/>
    </row>
    <row r="388" spans="3:19" s="19" customFormat="1" x14ac:dyDescent="0.2">
      <c r="C388" s="29"/>
      <c r="E388" s="10"/>
      <c r="H388" s="10"/>
      <c r="K388" s="10"/>
      <c r="N388" s="10"/>
      <c r="O388" s="20"/>
      <c r="P388" s="20"/>
      <c r="R388" s="20"/>
      <c r="S388" s="10"/>
    </row>
    <row r="389" spans="3:19" s="19" customFormat="1" x14ac:dyDescent="0.2">
      <c r="C389" s="29"/>
      <c r="E389" s="10"/>
      <c r="H389" s="10"/>
      <c r="K389" s="10"/>
      <c r="N389" s="10"/>
      <c r="O389" s="20"/>
      <c r="P389" s="20"/>
      <c r="R389" s="20"/>
      <c r="S389" s="10"/>
    </row>
    <row r="390" spans="3:19" s="19" customFormat="1" x14ac:dyDescent="0.2">
      <c r="C390" s="29"/>
      <c r="E390" s="10"/>
      <c r="H390" s="10"/>
      <c r="K390" s="10"/>
      <c r="N390" s="10"/>
      <c r="O390" s="20"/>
      <c r="P390" s="20"/>
      <c r="R390" s="20"/>
      <c r="S390" s="10"/>
    </row>
    <row r="391" spans="3:19" s="19" customFormat="1" x14ac:dyDescent="0.2">
      <c r="C391" s="29"/>
      <c r="E391" s="10"/>
      <c r="H391" s="10"/>
      <c r="K391" s="10"/>
      <c r="N391" s="10"/>
      <c r="O391" s="20"/>
      <c r="P391" s="20"/>
      <c r="R391" s="20"/>
      <c r="S391" s="10"/>
    </row>
    <row r="392" spans="3:19" s="19" customFormat="1" x14ac:dyDescent="0.2">
      <c r="C392" s="29"/>
      <c r="E392" s="10"/>
      <c r="H392" s="10"/>
      <c r="K392" s="10"/>
      <c r="N392" s="10"/>
      <c r="O392" s="20"/>
      <c r="P392" s="20"/>
      <c r="R392" s="20"/>
      <c r="S392" s="10"/>
    </row>
    <row r="393" spans="3:19" s="19" customFormat="1" x14ac:dyDescent="0.2">
      <c r="C393" s="29"/>
      <c r="E393" s="10"/>
      <c r="H393" s="10"/>
      <c r="K393" s="10"/>
      <c r="N393" s="10"/>
      <c r="O393" s="20"/>
      <c r="P393" s="20"/>
      <c r="R393" s="20"/>
      <c r="S393" s="10"/>
    </row>
    <row r="394" spans="3:19" s="19" customFormat="1" x14ac:dyDescent="0.2">
      <c r="C394" s="29"/>
      <c r="E394" s="10"/>
      <c r="H394" s="10"/>
      <c r="K394" s="10"/>
      <c r="N394" s="10"/>
      <c r="O394" s="20"/>
      <c r="P394" s="20"/>
      <c r="R394" s="20"/>
      <c r="S394" s="10"/>
    </row>
    <row r="395" spans="3:19" s="19" customFormat="1" x14ac:dyDescent="0.2">
      <c r="C395" s="29"/>
      <c r="E395" s="10"/>
      <c r="H395" s="10"/>
      <c r="K395" s="10"/>
      <c r="N395" s="10"/>
      <c r="O395" s="20"/>
      <c r="P395" s="20"/>
      <c r="R395" s="20"/>
      <c r="S395" s="10"/>
    </row>
    <row r="396" spans="3:19" s="19" customFormat="1" x14ac:dyDescent="0.2">
      <c r="C396" s="29"/>
      <c r="E396" s="10"/>
      <c r="H396" s="10"/>
      <c r="K396" s="10"/>
      <c r="N396" s="10"/>
      <c r="O396" s="20"/>
      <c r="P396" s="20"/>
      <c r="R396" s="20"/>
      <c r="S396" s="10"/>
    </row>
    <row r="397" spans="3:19" s="19" customFormat="1" x14ac:dyDescent="0.2">
      <c r="C397" s="29"/>
      <c r="E397" s="10"/>
      <c r="H397" s="10"/>
      <c r="K397" s="10"/>
      <c r="N397" s="10"/>
      <c r="O397" s="20"/>
      <c r="P397" s="20"/>
      <c r="R397" s="20"/>
      <c r="S397" s="10"/>
    </row>
    <row r="398" spans="3:19" s="19" customFormat="1" x14ac:dyDescent="0.2">
      <c r="C398" s="29"/>
      <c r="E398" s="10"/>
      <c r="H398" s="10"/>
      <c r="K398" s="10"/>
      <c r="N398" s="10"/>
      <c r="O398" s="20"/>
      <c r="P398" s="20"/>
      <c r="R398" s="20"/>
      <c r="S398" s="10"/>
    </row>
    <row r="399" spans="3:19" s="19" customFormat="1" x14ac:dyDescent="0.2">
      <c r="C399" s="29"/>
      <c r="E399" s="10"/>
      <c r="H399" s="10"/>
      <c r="K399" s="10"/>
      <c r="N399" s="10"/>
      <c r="O399" s="20"/>
      <c r="P399" s="20"/>
      <c r="R399" s="20"/>
      <c r="S399" s="10"/>
    </row>
    <row r="400" spans="3:19" s="19" customFormat="1" x14ac:dyDescent="0.2">
      <c r="C400" s="29"/>
      <c r="E400" s="10"/>
      <c r="H400" s="10"/>
      <c r="K400" s="10"/>
      <c r="N400" s="10"/>
      <c r="O400" s="20"/>
      <c r="P400" s="20"/>
      <c r="R400" s="20"/>
      <c r="S400" s="10"/>
    </row>
    <row r="401" spans="3:19" s="19" customFormat="1" x14ac:dyDescent="0.2">
      <c r="C401" s="29"/>
      <c r="E401" s="10"/>
      <c r="H401" s="10"/>
      <c r="K401" s="10"/>
      <c r="N401" s="10"/>
      <c r="O401" s="20"/>
      <c r="P401" s="20"/>
      <c r="R401" s="20"/>
      <c r="S401" s="10"/>
    </row>
    <row r="402" spans="3:19" s="19" customFormat="1" x14ac:dyDescent="0.2">
      <c r="C402" s="29"/>
      <c r="E402" s="10"/>
      <c r="H402" s="10"/>
      <c r="K402" s="10"/>
      <c r="N402" s="10"/>
      <c r="O402" s="20"/>
      <c r="P402" s="20"/>
      <c r="R402" s="20"/>
      <c r="S402" s="10"/>
    </row>
    <row r="403" spans="3:19" s="19" customFormat="1" x14ac:dyDescent="0.2">
      <c r="C403" s="29"/>
      <c r="E403" s="10"/>
      <c r="H403" s="10"/>
      <c r="K403" s="10"/>
      <c r="N403" s="10"/>
      <c r="O403" s="20"/>
      <c r="P403" s="20"/>
      <c r="R403" s="20"/>
      <c r="S403" s="10"/>
    </row>
    <row r="404" spans="3:19" s="19" customFormat="1" x14ac:dyDescent="0.2">
      <c r="C404" s="29"/>
      <c r="E404" s="10"/>
      <c r="H404" s="10"/>
      <c r="K404" s="10"/>
      <c r="N404" s="10"/>
      <c r="O404" s="20"/>
      <c r="P404" s="20"/>
      <c r="R404" s="20"/>
      <c r="S404" s="10"/>
    </row>
    <row r="405" spans="3:19" s="19" customFormat="1" x14ac:dyDescent="0.2">
      <c r="C405" s="29"/>
      <c r="E405" s="10"/>
      <c r="H405" s="10"/>
      <c r="K405" s="10"/>
      <c r="N405" s="10"/>
      <c r="O405" s="20"/>
      <c r="P405" s="20"/>
      <c r="R405" s="20"/>
      <c r="S405" s="10"/>
    </row>
    <row r="406" spans="3:19" s="19" customFormat="1" x14ac:dyDescent="0.2">
      <c r="C406" s="29"/>
      <c r="E406" s="10"/>
      <c r="H406" s="10"/>
      <c r="K406" s="10"/>
      <c r="N406" s="10"/>
      <c r="O406" s="20"/>
      <c r="P406" s="20"/>
      <c r="R406" s="20"/>
      <c r="S406" s="10"/>
    </row>
    <row r="407" spans="3:19" s="19" customFormat="1" x14ac:dyDescent="0.2">
      <c r="C407" s="29"/>
      <c r="E407" s="10"/>
      <c r="H407" s="10"/>
      <c r="K407" s="10"/>
      <c r="N407" s="10"/>
      <c r="O407" s="20"/>
      <c r="P407" s="20"/>
      <c r="R407" s="20"/>
      <c r="S407" s="10"/>
    </row>
    <row r="408" spans="3:19" s="19" customFormat="1" x14ac:dyDescent="0.2">
      <c r="C408" s="29"/>
      <c r="E408" s="10"/>
      <c r="H408" s="10"/>
      <c r="K408" s="10"/>
      <c r="N408" s="10"/>
      <c r="O408" s="20"/>
      <c r="P408" s="20"/>
      <c r="R408" s="20"/>
      <c r="S408" s="10"/>
    </row>
    <row r="409" spans="3:19" s="19" customFormat="1" x14ac:dyDescent="0.2">
      <c r="C409" s="29"/>
      <c r="E409" s="10"/>
      <c r="H409" s="10"/>
      <c r="K409" s="10"/>
      <c r="N409" s="10"/>
      <c r="O409" s="20"/>
      <c r="P409" s="20"/>
      <c r="R409" s="20"/>
      <c r="S409" s="10"/>
    </row>
    <row r="410" spans="3:19" s="19" customFormat="1" x14ac:dyDescent="0.2">
      <c r="C410" s="29"/>
      <c r="E410" s="10"/>
      <c r="H410" s="10"/>
      <c r="K410" s="10"/>
      <c r="N410" s="10"/>
      <c r="O410" s="20"/>
      <c r="P410" s="20"/>
      <c r="R410" s="20"/>
      <c r="S410" s="10"/>
    </row>
    <row r="411" spans="3:19" s="19" customFormat="1" x14ac:dyDescent="0.2">
      <c r="C411" s="29"/>
      <c r="E411" s="10"/>
      <c r="H411" s="10"/>
      <c r="K411" s="10"/>
      <c r="N411" s="10"/>
      <c r="O411" s="20"/>
      <c r="P411" s="20"/>
      <c r="R411" s="20"/>
      <c r="S411" s="10"/>
    </row>
    <row r="412" spans="3:19" s="19" customFormat="1" x14ac:dyDescent="0.2">
      <c r="C412" s="29"/>
      <c r="E412" s="10"/>
      <c r="H412" s="10"/>
      <c r="K412" s="10"/>
      <c r="N412" s="10"/>
      <c r="O412" s="20"/>
      <c r="P412" s="20"/>
      <c r="R412" s="20"/>
      <c r="S412" s="10"/>
    </row>
    <row r="413" spans="3:19" s="19" customFormat="1" x14ac:dyDescent="0.2">
      <c r="C413" s="29"/>
      <c r="E413" s="10"/>
      <c r="H413" s="10"/>
      <c r="K413" s="10"/>
      <c r="N413" s="10"/>
      <c r="O413" s="20"/>
      <c r="P413" s="20"/>
      <c r="R413" s="20"/>
      <c r="S413" s="10"/>
    </row>
    <row r="414" spans="3:19" s="19" customFormat="1" x14ac:dyDescent="0.2">
      <c r="C414" s="29"/>
      <c r="E414" s="10"/>
      <c r="H414" s="10"/>
      <c r="K414" s="10"/>
      <c r="N414" s="10"/>
      <c r="O414" s="20"/>
      <c r="P414" s="20"/>
      <c r="R414" s="20"/>
      <c r="S414" s="10"/>
    </row>
    <row r="415" spans="3:19" s="19" customFormat="1" x14ac:dyDescent="0.2">
      <c r="C415" s="29"/>
      <c r="E415" s="10"/>
      <c r="H415" s="10"/>
      <c r="K415" s="10"/>
      <c r="N415" s="10"/>
      <c r="O415" s="20"/>
      <c r="P415" s="20"/>
      <c r="R415" s="20"/>
      <c r="S415" s="10"/>
    </row>
    <row r="416" spans="3:19" s="19" customFormat="1" x14ac:dyDescent="0.2">
      <c r="C416" s="29"/>
      <c r="E416" s="10"/>
      <c r="H416" s="10"/>
      <c r="K416" s="10"/>
      <c r="N416" s="10"/>
      <c r="O416" s="20"/>
      <c r="P416" s="20"/>
      <c r="R416" s="20"/>
      <c r="S416" s="10"/>
    </row>
    <row r="417" spans="3:19" s="19" customFormat="1" x14ac:dyDescent="0.2">
      <c r="C417" s="29"/>
      <c r="E417" s="10"/>
      <c r="H417" s="10"/>
      <c r="K417" s="10"/>
      <c r="N417" s="10"/>
      <c r="O417" s="20"/>
      <c r="P417" s="20"/>
      <c r="R417" s="20"/>
      <c r="S417" s="10"/>
    </row>
    <row r="418" spans="3:19" s="19" customFormat="1" x14ac:dyDescent="0.2">
      <c r="C418" s="29"/>
      <c r="E418" s="10"/>
      <c r="H418" s="10"/>
      <c r="K418" s="10"/>
      <c r="N418" s="10"/>
      <c r="O418" s="20"/>
      <c r="P418" s="20"/>
      <c r="R418" s="20"/>
      <c r="S418" s="10"/>
    </row>
    <row r="419" spans="3:19" s="19" customFormat="1" x14ac:dyDescent="0.2">
      <c r="C419" s="29"/>
      <c r="E419" s="10"/>
      <c r="H419" s="10"/>
      <c r="K419" s="10"/>
      <c r="N419" s="10"/>
      <c r="O419" s="20"/>
      <c r="P419" s="20"/>
      <c r="R419" s="20"/>
      <c r="S419" s="10"/>
    </row>
    <row r="420" spans="3:19" s="19" customFormat="1" x14ac:dyDescent="0.2">
      <c r="C420" s="29"/>
      <c r="E420" s="10"/>
      <c r="H420" s="10"/>
      <c r="K420" s="10"/>
      <c r="N420" s="10"/>
      <c r="O420" s="20"/>
      <c r="P420" s="20"/>
      <c r="R420" s="20"/>
      <c r="S420" s="10"/>
    </row>
    <row r="421" spans="3:19" s="19" customFormat="1" x14ac:dyDescent="0.2">
      <c r="C421" s="29"/>
      <c r="E421" s="10"/>
      <c r="H421" s="10"/>
      <c r="K421" s="10"/>
      <c r="N421" s="10"/>
      <c r="O421" s="20"/>
      <c r="P421" s="20"/>
      <c r="R421" s="20"/>
      <c r="S421" s="10"/>
    </row>
    <row r="422" spans="3:19" s="19" customFormat="1" x14ac:dyDescent="0.2">
      <c r="C422" s="29"/>
      <c r="E422" s="10"/>
      <c r="H422" s="10"/>
      <c r="K422" s="10"/>
      <c r="N422" s="10"/>
      <c r="O422" s="20"/>
      <c r="P422" s="20"/>
      <c r="R422" s="20"/>
      <c r="S422" s="10"/>
    </row>
    <row r="423" spans="3:19" s="19" customFormat="1" x14ac:dyDescent="0.2">
      <c r="C423" s="29"/>
      <c r="E423" s="10"/>
      <c r="H423" s="10"/>
      <c r="K423" s="10"/>
      <c r="N423" s="10"/>
      <c r="O423" s="20"/>
      <c r="P423" s="20"/>
      <c r="R423" s="20"/>
      <c r="S423" s="10"/>
    </row>
    <row r="424" spans="3:19" s="19" customFormat="1" x14ac:dyDescent="0.2">
      <c r="C424" s="29"/>
      <c r="E424" s="10"/>
      <c r="H424" s="10"/>
      <c r="K424" s="10"/>
      <c r="N424" s="10"/>
      <c r="O424" s="20"/>
      <c r="P424" s="20"/>
      <c r="R424" s="20"/>
      <c r="S424" s="10"/>
    </row>
    <row r="425" spans="3:19" s="19" customFormat="1" x14ac:dyDescent="0.2">
      <c r="C425" s="29"/>
      <c r="E425" s="10"/>
      <c r="H425" s="10"/>
      <c r="K425" s="10"/>
      <c r="N425" s="10"/>
      <c r="O425" s="20"/>
      <c r="P425" s="20"/>
      <c r="R425" s="20"/>
      <c r="S425" s="10"/>
    </row>
    <row r="426" spans="3:19" s="19" customFormat="1" x14ac:dyDescent="0.2">
      <c r="C426" s="29"/>
      <c r="E426" s="10"/>
      <c r="H426" s="10"/>
      <c r="K426" s="10"/>
      <c r="N426" s="10"/>
      <c r="O426" s="20"/>
      <c r="P426" s="20"/>
      <c r="R426" s="20"/>
      <c r="S426" s="10"/>
    </row>
    <row r="427" spans="3:19" s="19" customFormat="1" x14ac:dyDescent="0.2">
      <c r="C427" s="29"/>
      <c r="E427" s="10"/>
      <c r="H427" s="10"/>
      <c r="K427" s="10"/>
      <c r="N427" s="10"/>
      <c r="O427" s="20"/>
      <c r="P427" s="20"/>
      <c r="R427" s="20"/>
      <c r="S427" s="10"/>
    </row>
    <row r="428" spans="3:19" s="19" customFormat="1" x14ac:dyDescent="0.2">
      <c r="C428" s="29"/>
      <c r="E428" s="10"/>
      <c r="H428" s="10"/>
      <c r="K428" s="10"/>
      <c r="N428" s="10"/>
      <c r="O428" s="20"/>
      <c r="P428" s="20"/>
      <c r="R428" s="20"/>
      <c r="S428" s="10"/>
    </row>
    <row r="429" spans="3:19" s="19" customFormat="1" x14ac:dyDescent="0.2">
      <c r="C429" s="29"/>
      <c r="E429" s="10"/>
      <c r="H429" s="10"/>
      <c r="K429" s="10"/>
      <c r="N429" s="10"/>
      <c r="O429" s="20"/>
      <c r="P429" s="20"/>
      <c r="R429" s="20"/>
      <c r="S429" s="10"/>
    </row>
    <row r="430" spans="3:19" s="19" customFormat="1" x14ac:dyDescent="0.2">
      <c r="C430" s="29"/>
      <c r="E430" s="10"/>
      <c r="H430" s="10"/>
      <c r="K430" s="10"/>
      <c r="N430" s="10"/>
      <c r="O430" s="20"/>
      <c r="P430" s="20"/>
      <c r="R430" s="20"/>
      <c r="S430" s="10"/>
    </row>
    <row r="431" spans="3:19" s="19" customFormat="1" x14ac:dyDescent="0.2">
      <c r="C431" s="29"/>
      <c r="E431" s="10"/>
      <c r="H431" s="10"/>
      <c r="K431" s="10"/>
      <c r="N431" s="10"/>
      <c r="O431" s="20"/>
      <c r="P431" s="20"/>
      <c r="R431" s="20"/>
      <c r="S431" s="10"/>
    </row>
    <row r="432" spans="3:19" s="19" customFormat="1" x14ac:dyDescent="0.2">
      <c r="C432" s="29"/>
      <c r="E432" s="10"/>
      <c r="H432" s="10"/>
      <c r="K432" s="10"/>
      <c r="N432" s="10"/>
      <c r="O432" s="20"/>
      <c r="P432" s="20"/>
      <c r="R432" s="20"/>
      <c r="S432" s="10"/>
    </row>
    <row r="433" spans="3:19" s="19" customFormat="1" x14ac:dyDescent="0.2">
      <c r="C433" s="29"/>
      <c r="E433" s="10"/>
      <c r="H433" s="10"/>
      <c r="K433" s="10"/>
      <c r="N433" s="10"/>
      <c r="O433" s="20"/>
      <c r="P433" s="20"/>
      <c r="R433" s="20"/>
      <c r="S433" s="10"/>
    </row>
    <row r="434" spans="3:19" s="19" customFormat="1" x14ac:dyDescent="0.2">
      <c r="C434" s="29"/>
      <c r="E434" s="10"/>
      <c r="H434" s="10"/>
      <c r="K434" s="10"/>
      <c r="N434" s="10"/>
      <c r="O434" s="20"/>
      <c r="P434" s="20"/>
      <c r="R434" s="20"/>
      <c r="S434" s="10"/>
    </row>
    <row r="435" spans="3:19" s="19" customFormat="1" x14ac:dyDescent="0.2">
      <c r="C435" s="29"/>
      <c r="E435" s="10"/>
      <c r="H435" s="10"/>
      <c r="K435" s="10"/>
      <c r="N435" s="10"/>
      <c r="O435" s="20"/>
      <c r="P435" s="20"/>
      <c r="R435" s="20"/>
      <c r="S435" s="10"/>
    </row>
    <row r="436" spans="3:19" s="19" customFormat="1" x14ac:dyDescent="0.2">
      <c r="C436" s="29"/>
      <c r="E436" s="10"/>
      <c r="H436" s="10"/>
      <c r="K436" s="10"/>
      <c r="N436" s="10"/>
      <c r="O436" s="20"/>
      <c r="P436" s="20"/>
      <c r="R436" s="20"/>
      <c r="S436" s="10"/>
    </row>
    <row r="437" spans="3:19" s="19" customFormat="1" x14ac:dyDescent="0.2">
      <c r="C437" s="29"/>
      <c r="E437" s="10"/>
      <c r="H437" s="10"/>
      <c r="K437" s="10"/>
      <c r="N437" s="10"/>
      <c r="O437" s="20"/>
      <c r="P437" s="20"/>
      <c r="R437" s="20"/>
      <c r="S437" s="10"/>
    </row>
    <row r="438" spans="3:19" s="19" customFormat="1" x14ac:dyDescent="0.2">
      <c r="C438" s="29"/>
      <c r="E438" s="10"/>
      <c r="H438" s="10"/>
      <c r="K438" s="10"/>
      <c r="N438" s="10"/>
      <c r="O438" s="20"/>
      <c r="P438" s="20"/>
      <c r="R438" s="20"/>
      <c r="S438" s="10"/>
    </row>
    <row r="439" spans="3:19" s="19" customFormat="1" x14ac:dyDescent="0.2">
      <c r="C439" s="29"/>
      <c r="E439" s="10"/>
      <c r="H439" s="10"/>
      <c r="K439" s="10"/>
      <c r="N439" s="10"/>
      <c r="O439" s="20"/>
      <c r="P439" s="20"/>
      <c r="R439" s="20"/>
      <c r="S439" s="10"/>
    </row>
    <row r="440" spans="3:19" s="19" customFormat="1" x14ac:dyDescent="0.2">
      <c r="C440" s="29"/>
      <c r="E440" s="10"/>
      <c r="H440" s="10"/>
      <c r="K440" s="10"/>
      <c r="N440" s="10"/>
      <c r="O440" s="20"/>
      <c r="P440" s="20"/>
      <c r="R440" s="20"/>
      <c r="S440" s="10"/>
    </row>
    <row r="441" spans="3:19" s="19" customFormat="1" x14ac:dyDescent="0.2">
      <c r="C441" s="29"/>
      <c r="E441" s="10"/>
      <c r="H441" s="10"/>
      <c r="K441" s="10"/>
      <c r="N441" s="10"/>
      <c r="O441" s="20"/>
      <c r="P441" s="20"/>
      <c r="R441" s="20"/>
      <c r="S441" s="10"/>
    </row>
    <row r="442" spans="3:19" s="19" customFormat="1" x14ac:dyDescent="0.2">
      <c r="C442" s="29"/>
      <c r="E442" s="10"/>
      <c r="H442" s="10"/>
      <c r="K442" s="10"/>
      <c r="N442" s="10"/>
      <c r="O442" s="20"/>
      <c r="P442" s="20"/>
      <c r="R442" s="20"/>
      <c r="S442" s="10"/>
    </row>
    <row r="443" spans="3:19" s="19" customFormat="1" x14ac:dyDescent="0.2">
      <c r="C443" s="29"/>
      <c r="E443" s="10"/>
      <c r="H443" s="10"/>
      <c r="K443" s="10"/>
      <c r="N443" s="10"/>
      <c r="O443" s="20"/>
      <c r="P443" s="20"/>
      <c r="R443" s="20"/>
      <c r="S443" s="10"/>
    </row>
    <row r="444" spans="3:19" s="19" customFormat="1" x14ac:dyDescent="0.2">
      <c r="C444" s="29"/>
      <c r="E444" s="10"/>
      <c r="H444" s="10"/>
      <c r="K444" s="10"/>
      <c r="N444" s="10"/>
      <c r="O444" s="20"/>
      <c r="P444" s="20"/>
      <c r="R444" s="20"/>
      <c r="S444" s="10"/>
    </row>
    <row r="445" spans="3:19" s="19" customFormat="1" x14ac:dyDescent="0.2">
      <c r="C445" s="29"/>
      <c r="E445" s="10"/>
      <c r="H445" s="10"/>
      <c r="K445" s="10"/>
      <c r="N445" s="10"/>
      <c r="O445" s="20"/>
      <c r="P445" s="20"/>
      <c r="R445" s="20"/>
      <c r="S445" s="10"/>
    </row>
    <row r="446" spans="3:19" s="19" customFormat="1" x14ac:dyDescent="0.2">
      <c r="C446" s="29"/>
      <c r="E446" s="10"/>
      <c r="H446" s="10"/>
      <c r="K446" s="10"/>
      <c r="N446" s="10"/>
      <c r="O446" s="20"/>
      <c r="P446" s="20"/>
      <c r="R446" s="20"/>
      <c r="S446" s="10"/>
    </row>
    <row r="447" spans="3:19" s="19" customFormat="1" x14ac:dyDescent="0.2">
      <c r="C447" s="29"/>
      <c r="E447" s="10"/>
      <c r="H447" s="10"/>
      <c r="K447" s="10"/>
      <c r="N447" s="10"/>
      <c r="O447" s="20"/>
      <c r="P447" s="20"/>
      <c r="R447" s="20"/>
      <c r="S447" s="10"/>
    </row>
    <row r="448" spans="3:19" s="19" customFormat="1" x14ac:dyDescent="0.2">
      <c r="C448" s="29"/>
      <c r="E448" s="10"/>
      <c r="H448" s="10"/>
      <c r="K448" s="10"/>
      <c r="N448" s="10"/>
      <c r="O448" s="20"/>
      <c r="P448" s="20"/>
      <c r="R448" s="20"/>
      <c r="S448" s="10"/>
    </row>
    <row r="449" spans="3:19" s="19" customFormat="1" x14ac:dyDescent="0.2">
      <c r="C449" s="29"/>
      <c r="E449" s="10"/>
      <c r="H449" s="10"/>
      <c r="K449" s="10"/>
      <c r="N449" s="10"/>
      <c r="O449" s="20"/>
      <c r="P449" s="20"/>
      <c r="R449" s="20"/>
      <c r="S449" s="10"/>
    </row>
    <row r="450" spans="3:19" s="19" customFormat="1" x14ac:dyDescent="0.2">
      <c r="C450" s="29"/>
      <c r="E450" s="10"/>
      <c r="H450" s="10"/>
      <c r="K450" s="10"/>
      <c r="N450" s="10"/>
      <c r="O450" s="20"/>
      <c r="P450" s="20"/>
      <c r="R450" s="20"/>
      <c r="S450" s="10"/>
    </row>
    <row r="451" spans="3:19" s="19" customFormat="1" x14ac:dyDescent="0.2">
      <c r="C451" s="29"/>
      <c r="E451" s="10"/>
      <c r="H451" s="10"/>
      <c r="K451" s="10"/>
      <c r="N451" s="10"/>
      <c r="O451" s="20"/>
      <c r="P451" s="20"/>
      <c r="R451" s="20"/>
      <c r="S451" s="10"/>
    </row>
    <row r="452" spans="3:19" s="19" customFormat="1" x14ac:dyDescent="0.2">
      <c r="C452" s="29"/>
      <c r="E452" s="10"/>
      <c r="H452" s="10"/>
      <c r="K452" s="10"/>
      <c r="N452" s="10"/>
      <c r="O452" s="20"/>
      <c r="P452" s="20"/>
      <c r="R452" s="20"/>
      <c r="S452" s="10"/>
    </row>
    <row r="453" spans="3:19" s="19" customFormat="1" x14ac:dyDescent="0.2">
      <c r="C453" s="29"/>
      <c r="E453" s="10"/>
      <c r="H453" s="10"/>
      <c r="K453" s="10"/>
      <c r="N453" s="10"/>
      <c r="O453" s="20"/>
      <c r="P453" s="20"/>
      <c r="R453" s="20"/>
      <c r="S453" s="10"/>
    </row>
    <row r="454" spans="3:19" s="19" customFormat="1" x14ac:dyDescent="0.2">
      <c r="C454" s="29"/>
      <c r="E454" s="10"/>
      <c r="H454" s="10"/>
      <c r="K454" s="10"/>
      <c r="N454" s="10"/>
      <c r="O454" s="20"/>
      <c r="P454" s="20"/>
      <c r="R454" s="20"/>
      <c r="S454" s="10"/>
    </row>
    <row r="455" spans="3:19" s="19" customFormat="1" x14ac:dyDescent="0.2">
      <c r="C455" s="29"/>
      <c r="E455" s="10"/>
      <c r="H455" s="10"/>
      <c r="K455" s="10"/>
      <c r="N455" s="10"/>
      <c r="O455" s="20"/>
      <c r="P455" s="20"/>
      <c r="R455" s="20"/>
      <c r="S455" s="10"/>
    </row>
    <row r="456" spans="3:19" s="19" customFormat="1" x14ac:dyDescent="0.2">
      <c r="C456" s="29"/>
      <c r="E456" s="10"/>
      <c r="H456" s="10"/>
      <c r="K456" s="10"/>
      <c r="N456" s="10"/>
      <c r="O456" s="20"/>
      <c r="P456" s="20"/>
      <c r="R456" s="20"/>
      <c r="S456" s="10"/>
    </row>
    <row r="457" spans="3:19" s="19" customFormat="1" x14ac:dyDescent="0.2">
      <c r="C457" s="29"/>
      <c r="E457" s="10"/>
      <c r="H457" s="10"/>
      <c r="K457" s="10"/>
      <c r="N457" s="10"/>
      <c r="O457" s="20"/>
      <c r="P457" s="20"/>
      <c r="R457" s="20"/>
      <c r="S457" s="10"/>
    </row>
    <row r="458" spans="3:19" s="19" customFormat="1" x14ac:dyDescent="0.2">
      <c r="C458" s="29"/>
      <c r="E458" s="10"/>
      <c r="H458" s="10"/>
      <c r="K458" s="10"/>
      <c r="N458" s="10"/>
      <c r="O458" s="20"/>
      <c r="P458" s="20"/>
      <c r="R458" s="20"/>
      <c r="S458" s="10"/>
    </row>
    <row r="459" spans="3:19" s="19" customFormat="1" x14ac:dyDescent="0.2">
      <c r="C459" s="29"/>
      <c r="E459" s="10"/>
      <c r="H459" s="10"/>
      <c r="K459" s="10"/>
      <c r="N459" s="10"/>
      <c r="O459" s="20"/>
      <c r="P459" s="20"/>
      <c r="R459" s="20"/>
      <c r="S459" s="10"/>
    </row>
    <row r="460" spans="3:19" s="19" customFormat="1" x14ac:dyDescent="0.2">
      <c r="C460" s="29"/>
      <c r="E460" s="10"/>
      <c r="H460" s="10"/>
      <c r="K460" s="10"/>
      <c r="N460" s="10"/>
      <c r="O460" s="20"/>
      <c r="P460" s="20"/>
      <c r="R460" s="20"/>
      <c r="S460" s="10"/>
    </row>
    <row r="461" spans="3:19" s="19" customFormat="1" x14ac:dyDescent="0.2">
      <c r="C461" s="29"/>
      <c r="E461" s="10"/>
      <c r="H461" s="10"/>
      <c r="K461" s="10"/>
      <c r="N461" s="10"/>
      <c r="O461" s="20"/>
      <c r="P461" s="20"/>
      <c r="R461" s="20"/>
      <c r="S461" s="10"/>
    </row>
    <row r="462" spans="3:19" s="19" customFormat="1" x14ac:dyDescent="0.2">
      <c r="C462" s="29"/>
      <c r="E462" s="10"/>
      <c r="H462" s="10"/>
      <c r="K462" s="10"/>
      <c r="N462" s="10"/>
      <c r="O462" s="20"/>
      <c r="P462" s="20"/>
      <c r="R462" s="20"/>
      <c r="S462" s="10"/>
    </row>
    <row r="463" spans="3:19" s="19" customFormat="1" x14ac:dyDescent="0.2">
      <c r="C463" s="29"/>
      <c r="E463" s="10"/>
      <c r="H463" s="10"/>
      <c r="K463" s="10"/>
      <c r="N463" s="10"/>
      <c r="O463" s="20"/>
      <c r="P463" s="20"/>
      <c r="R463" s="20"/>
      <c r="S463" s="10"/>
    </row>
    <row r="464" spans="3:19" s="19" customFormat="1" x14ac:dyDescent="0.2">
      <c r="C464" s="29"/>
      <c r="E464" s="10"/>
      <c r="H464" s="10"/>
      <c r="K464" s="10"/>
      <c r="N464" s="10"/>
      <c r="O464" s="20"/>
      <c r="P464" s="20"/>
      <c r="R464" s="20"/>
      <c r="S464" s="10"/>
    </row>
    <row r="465" spans="3:19" s="19" customFormat="1" x14ac:dyDescent="0.2">
      <c r="C465" s="29"/>
      <c r="E465" s="10"/>
      <c r="H465" s="10"/>
      <c r="K465" s="10"/>
      <c r="N465" s="10"/>
      <c r="O465" s="20"/>
      <c r="P465" s="20"/>
      <c r="R465" s="20"/>
      <c r="S465" s="10"/>
    </row>
    <row r="466" spans="3:19" s="19" customFormat="1" x14ac:dyDescent="0.2">
      <c r="C466" s="29"/>
      <c r="E466" s="10"/>
      <c r="H466" s="10"/>
      <c r="K466" s="10"/>
      <c r="N466" s="10"/>
      <c r="O466" s="20"/>
      <c r="P466" s="20"/>
      <c r="R466" s="20"/>
      <c r="S466" s="10"/>
    </row>
    <row r="467" spans="3:19" s="19" customFormat="1" x14ac:dyDescent="0.2">
      <c r="C467" s="29"/>
      <c r="E467" s="10"/>
      <c r="H467" s="10"/>
      <c r="K467" s="10"/>
      <c r="N467" s="10"/>
      <c r="O467" s="20"/>
      <c r="P467" s="20"/>
      <c r="R467" s="20"/>
      <c r="S467" s="10"/>
    </row>
    <row r="468" spans="3:19" s="19" customFormat="1" x14ac:dyDescent="0.2">
      <c r="C468" s="29"/>
      <c r="E468" s="10"/>
      <c r="H468" s="10"/>
      <c r="K468" s="10"/>
      <c r="N468" s="10"/>
      <c r="O468" s="20"/>
      <c r="P468" s="20"/>
      <c r="R468" s="20"/>
      <c r="S468" s="10"/>
    </row>
    <row r="469" spans="3:19" s="19" customFormat="1" x14ac:dyDescent="0.2">
      <c r="C469" s="29"/>
      <c r="E469" s="10"/>
      <c r="H469" s="10"/>
      <c r="K469" s="10"/>
      <c r="N469" s="10"/>
      <c r="O469" s="20"/>
      <c r="P469" s="20"/>
      <c r="R469" s="20"/>
      <c r="S469" s="10"/>
    </row>
    <row r="470" spans="3:19" s="19" customFormat="1" x14ac:dyDescent="0.2">
      <c r="C470" s="29"/>
      <c r="E470" s="10"/>
      <c r="H470" s="10"/>
      <c r="K470" s="10"/>
      <c r="N470" s="10"/>
      <c r="O470" s="20"/>
      <c r="P470" s="20"/>
      <c r="R470" s="20"/>
      <c r="S470" s="10"/>
    </row>
    <row r="471" spans="3:19" s="19" customFormat="1" x14ac:dyDescent="0.2">
      <c r="C471" s="29"/>
      <c r="E471" s="10"/>
      <c r="H471" s="10"/>
      <c r="K471" s="10"/>
      <c r="N471" s="10"/>
      <c r="O471" s="20"/>
      <c r="P471" s="20"/>
      <c r="R471" s="20"/>
      <c r="S471" s="10"/>
    </row>
    <row r="472" spans="3:19" s="19" customFormat="1" x14ac:dyDescent="0.2">
      <c r="C472" s="29"/>
      <c r="E472" s="10"/>
      <c r="H472" s="10"/>
      <c r="K472" s="10"/>
      <c r="N472" s="10"/>
      <c r="O472" s="20"/>
      <c r="P472" s="20"/>
      <c r="R472" s="20"/>
      <c r="S472" s="10"/>
    </row>
    <row r="473" spans="3:19" s="19" customFormat="1" x14ac:dyDescent="0.2">
      <c r="C473" s="29"/>
      <c r="E473" s="10"/>
      <c r="H473" s="10"/>
      <c r="K473" s="10"/>
      <c r="N473" s="10"/>
      <c r="O473" s="20"/>
      <c r="P473" s="20"/>
      <c r="R473" s="20"/>
      <c r="S473" s="10"/>
    </row>
    <row r="474" spans="3:19" s="19" customFormat="1" x14ac:dyDescent="0.2">
      <c r="C474" s="29"/>
      <c r="E474" s="10"/>
      <c r="H474" s="10"/>
      <c r="K474" s="10"/>
      <c r="N474" s="10"/>
      <c r="O474" s="20"/>
      <c r="P474" s="20"/>
      <c r="R474" s="20"/>
      <c r="S474" s="10"/>
    </row>
    <row r="475" spans="3:19" s="19" customFormat="1" x14ac:dyDescent="0.2">
      <c r="C475" s="29"/>
      <c r="E475" s="10"/>
      <c r="H475" s="10"/>
      <c r="K475" s="10"/>
      <c r="N475" s="10"/>
      <c r="O475" s="20"/>
      <c r="P475" s="20"/>
      <c r="R475" s="20"/>
      <c r="S475" s="10"/>
    </row>
    <row r="476" spans="3:19" s="19" customFormat="1" x14ac:dyDescent="0.2">
      <c r="C476" s="29"/>
      <c r="E476" s="10"/>
      <c r="H476" s="10"/>
      <c r="K476" s="10"/>
      <c r="N476" s="10"/>
      <c r="O476" s="20"/>
      <c r="P476" s="20"/>
      <c r="R476" s="20"/>
      <c r="S476" s="10"/>
    </row>
    <row r="477" spans="3:19" s="19" customFormat="1" x14ac:dyDescent="0.2">
      <c r="C477" s="29"/>
      <c r="E477" s="10"/>
      <c r="H477" s="10"/>
      <c r="K477" s="10"/>
      <c r="N477" s="10"/>
      <c r="O477" s="20"/>
      <c r="P477" s="20"/>
      <c r="R477" s="20"/>
      <c r="S477" s="10"/>
    </row>
    <row r="478" spans="3:19" s="19" customFormat="1" x14ac:dyDescent="0.2">
      <c r="C478" s="29"/>
      <c r="E478" s="10"/>
      <c r="H478" s="10"/>
      <c r="K478" s="10"/>
      <c r="N478" s="10"/>
      <c r="O478" s="20"/>
      <c r="P478" s="20"/>
      <c r="R478" s="20"/>
      <c r="S478" s="10"/>
    </row>
    <row r="479" spans="3:19" s="19" customFormat="1" x14ac:dyDescent="0.2">
      <c r="C479" s="29"/>
      <c r="E479" s="10"/>
      <c r="H479" s="10"/>
      <c r="K479" s="10"/>
      <c r="N479" s="10"/>
      <c r="O479" s="20"/>
      <c r="P479" s="20"/>
      <c r="R479" s="20"/>
      <c r="S479" s="10"/>
    </row>
    <row r="480" spans="3:19" s="19" customFormat="1" x14ac:dyDescent="0.2">
      <c r="C480" s="29"/>
      <c r="E480" s="10"/>
      <c r="H480" s="10"/>
      <c r="K480" s="10"/>
      <c r="N480" s="10"/>
      <c r="O480" s="20"/>
      <c r="P480" s="20"/>
      <c r="R480" s="20"/>
      <c r="S480" s="10"/>
    </row>
    <row r="481" spans="3:19" s="19" customFormat="1" x14ac:dyDescent="0.2">
      <c r="C481" s="29"/>
      <c r="E481" s="10"/>
      <c r="H481" s="10"/>
      <c r="K481" s="10"/>
      <c r="N481" s="10"/>
      <c r="O481" s="20"/>
      <c r="P481" s="20"/>
      <c r="R481" s="20"/>
      <c r="S481" s="10"/>
    </row>
    <row r="482" spans="3:19" s="19" customFormat="1" x14ac:dyDescent="0.2">
      <c r="C482" s="29"/>
      <c r="E482" s="10"/>
      <c r="H482" s="10"/>
      <c r="K482" s="10"/>
      <c r="N482" s="10"/>
      <c r="O482" s="20"/>
      <c r="P482" s="20"/>
      <c r="R482" s="20"/>
      <c r="S482" s="10"/>
    </row>
    <row r="483" spans="3:19" s="19" customFormat="1" x14ac:dyDescent="0.2">
      <c r="C483" s="29"/>
      <c r="E483" s="10"/>
      <c r="H483" s="10"/>
      <c r="K483" s="10"/>
      <c r="N483" s="10"/>
      <c r="O483" s="20"/>
      <c r="P483" s="20"/>
      <c r="R483" s="20"/>
      <c r="S483" s="10"/>
    </row>
    <row r="484" spans="3:19" s="19" customFormat="1" x14ac:dyDescent="0.2">
      <c r="C484" s="29"/>
      <c r="E484" s="10"/>
      <c r="H484" s="10"/>
      <c r="K484" s="10"/>
      <c r="N484" s="10"/>
      <c r="O484" s="20"/>
      <c r="P484" s="20"/>
      <c r="R484" s="20"/>
      <c r="S484" s="10"/>
    </row>
    <row r="485" spans="3:19" s="19" customFormat="1" x14ac:dyDescent="0.2">
      <c r="C485" s="29"/>
      <c r="E485" s="10"/>
      <c r="H485" s="10"/>
      <c r="K485" s="10"/>
      <c r="N485" s="10"/>
      <c r="O485" s="20"/>
      <c r="P485" s="20"/>
      <c r="R485" s="20"/>
      <c r="S485" s="10"/>
    </row>
    <row r="486" spans="3:19" s="19" customFormat="1" x14ac:dyDescent="0.2">
      <c r="C486" s="29"/>
      <c r="E486" s="10"/>
      <c r="H486" s="10"/>
      <c r="K486" s="10"/>
      <c r="N486" s="10"/>
      <c r="O486" s="20"/>
      <c r="P486" s="20"/>
      <c r="R486" s="20"/>
      <c r="S486" s="10"/>
    </row>
    <row r="487" spans="3:19" s="19" customFormat="1" x14ac:dyDescent="0.2">
      <c r="C487" s="29"/>
      <c r="E487" s="10"/>
      <c r="H487" s="10"/>
      <c r="K487" s="10"/>
      <c r="N487" s="10"/>
      <c r="O487" s="20"/>
      <c r="P487" s="20"/>
      <c r="R487" s="20"/>
      <c r="S487" s="10"/>
    </row>
    <row r="488" spans="3:19" s="19" customFormat="1" x14ac:dyDescent="0.2">
      <c r="C488" s="29"/>
      <c r="E488" s="10"/>
      <c r="H488" s="10"/>
      <c r="K488" s="10"/>
      <c r="N488" s="10"/>
      <c r="O488" s="20"/>
      <c r="P488" s="20"/>
      <c r="R488" s="20"/>
      <c r="S488" s="10"/>
    </row>
    <row r="489" spans="3:19" s="19" customFormat="1" x14ac:dyDescent="0.2">
      <c r="C489" s="29"/>
      <c r="E489" s="10"/>
      <c r="H489" s="10"/>
      <c r="K489" s="10"/>
      <c r="N489" s="10"/>
      <c r="O489" s="20"/>
      <c r="P489" s="20"/>
      <c r="R489" s="20"/>
      <c r="S489" s="10"/>
    </row>
    <row r="490" spans="3:19" s="19" customFormat="1" x14ac:dyDescent="0.2">
      <c r="C490" s="29"/>
      <c r="E490" s="10"/>
      <c r="H490" s="10"/>
      <c r="K490" s="10"/>
      <c r="N490" s="10"/>
      <c r="O490" s="20"/>
      <c r="P490" s="20"/>
      <c r="R490" s="20"/>
      <c r="S490" s="10"/>
    </row>
    <row r="491" spans="3:19" s="19" customFormat="1" x14ac:dyDescent="0.2">
      <c r="C491" s="29"/>
      <c r="E491" s="10"/>
      <c r="H491" s="10"/>
      <c r="K491" s="10"/>
      <c r="N491" s="10"/>
      <c r="O491" s="20"/>
      <c r="P491" s="20"/>
      <c r="R491" s="20"/>
      <c r="S491" s="10"/>
    </row>
    <row r="492" spans="3:19" s="19" customFormat="1" x14ac:dyDescent="0.2">
      <c r="C492" s="29"/>
      <c r="E492" s="10"/>
      <c r="H492" s="10"/>
      <c r="K492" s="10"/>
      <c r="N492" s="10"/>
      <c r="O492" s="20"/>
      <c r="P492" s="20"/>
      <c r="R492" s="20"/>
      <c r="S492" s="10"/>
    </row>
    <row r="493" spans="3:19" s="19" customFormat="1" x14ac:dyDescent="0.2">
      <c r="C493" s="29"/>
      <c r="E493" s="10"/>
      <c r="H493" s="10"/>
      <c r="K493" s="10"/>
      <c r="N493" s="10"/>
      <c r="O493" s="20"/>
      <c r="P493" s="20"/>
      <c r="R493" s="20"/>
      <c r="S493" s="10"/>
    </row>
    <row r="494" spans="3:19" s="19" customFormat="1" x14ac:dyDescent="0.2">
      <c r="C494" s="29"/>
      <c r="E494" s="10"/>
      <c r="H494" s="10"/>
      <c r="K494" s="10"/>
      <c r="N494" s="10"/>
      <c r="O494" s="20"/>
      <c r="P494" s="20"/>
      <c r="R494" s="20"/>
      <c r="S494" s="10"/>
    </row>
    <row r="495" spans="3:19" s="19" customFormat="1" x14ac:dyDescent="0.2">
      <c r="C495" s="29"/>
      <c r="E495" s="10"/>
      <c r="H495" s="10"/>
      <c r="K495" s="10"/>
      <c r="N495" s="10"/>
      <c r="O495" s="20"/>
      <c r="P495" s="20"/>
      <c r="R495" s="20"/>
      <c r="S495" s="10"/>
    </row>
    <row r="496" spans="3:19" s="19" customFormat="1" x14ac:dyDescent="0.2">
      <c r="C496" s="29"/>
      <c r="E496" s="10"/>
      <c r="H496" s="10"/>
      <c r="K496" s="10"/>
      <c r="N496" s="10"/>
      <c r="O496" s="20"/>
      <c r="P496" s="20"/>
      <c r="R496" s="20"/>
      <c r="S496" s="10"/>
    </row>
    <row r="497" spans="3:19" s="19" customFormat="1" x14ac:dyDescent="0.2">
      <c r="C497" s="29"/>
      <c r="E497" s="10"/>
      <c r="H497" s="10"/>
      <c r="K497" s="10"/>
      <c r="N497" s="10"/>
      <c r="O497" s="20"/>
      <c r="P497" s="20"/>
      <c r="R497" s="20"/>
      <c r="S497" s="10"/>
    </row>
    <row r="498" spans="3:19" s="19" customFormat="1" x14ac:dyDescent="0.2">
      <c r="C498" s="29"/>
      <c r="E498" s="10"/>
      <c r="H498" s="10"/>
      <c r="K498" s="10"/>
      <c r="N498" s="10"/>
      <c r="O498" s="20"/>
      <c r="P498" s="20"/>
      <c r="R498" s="20"/>
      <c r="S498" s="10"/>
    </row>
    <row r="499" spans="3:19" s="19" customFormat="1" x14ac:dyDescent="0.2">
      <c r="C499" s="29"/>
      <c r="E499" s="10"/>
      <c r="H499" s="10"/>
      <c r="K499" s="10"/>
      <c r="N499" s="10"/>
      <c r="O499" s="20"/>
      <c r="P499" s="20"/>
      <c r="R499" s="20"/>
      <c r="S499" s="10"/>
    </row>
    <row r="500" spans="3:19" s="19" customFormat="1" x14ac:dyDescent="0.2">
      <c r="C500" s="29"/>
      <c r="E500" s="10"/>
      <c r="H500" s="10"/>
      <c r="K500" s="10"/>
      <c r="N500" s="10"/>
      <c r="O500" s="20"/>
      <c r="P500" s="20"/>
      <c r="R500" s="20"/>
      <c r="S500" s="10"/>
    </row>
    <row r="501" spans="3:19" s="19" customFormat="1" x14ac:dyDescent="0.2">
      <c r="C501" s="29"/>
      <c r="E501" s="10"/>
      <c r="H501" s="10"/>
      <c r="K501" s="10"/>
      <c r="N501" s="10"/>
      <c r="O501" s="20"/>
      <c r="P501" s="20"/>
      <c r="R501" s="20"/>
      <c r="S501" s="10"/>
    </row>
    <row r="502" spans="3:19" s="19" customFormat="1" x14ac:dyDescent="0.2">
      <c r="C502" s="29"/>
      <c r="E502" s="10"/>
      <c r="H502" s="10"/>
      <c r="K502" s="10"/>
      <c r="N502" s="10"/>
      <c r="O502" s="20"/>
      <c r="P502" s="20"/>
      <c r="R502" s="20"/>
      <c r="S502" s="10"/>
    </row>
    <row r="503" spans="3:19" s="19" customFormat="1" x14ac:dyDescent="0.2">
      <c r="C503" s="29"/>
      <c r="E503" s="10"/>
      <c r="H503" s="10"/>
      <c r="K503" s="10"/>
      <c r="N503" s="10"/>
      <c r="O503" s="20"/>
      <c r="P503" s="20"/>
      <c r="R503" s="20"/>
      <c r="S503" s="10"/>
    </row>
    <row r="504" spans="3:19" s="19" customFormat="1" x14ac:dyDescent="0.2">
      <c r="C504" s="29"/>
      <c r="E504" s="10"/>
      <c r="H504" s="10"/>
      <c r="K504" s="10"/>
      <c r="N504" s="10"/>
      <c r="O504" s="20"/>
      <c r="P504" s="20"/>
      <c r="R504" s="20"/>
      <c r="S504" s="10"/>
    </row>
    <row r="505" spans="3:19" s="19" customFormat="1" x14ac:dyDescent="0.2">
      <c r="C505" s="29"/>
      <c r="E505" s="10"/>
      <c r="H505" s="10"/>
      <c r="K505" s="10"/>
      <c r="N505" s="10"/>
      <c r="O505" s="20"/>
      <c r="P505" s="20"/>
      <c r="R505" s="20"/>
      <c r="S505" s="10"/>
    </row>
    <row r="506" spans="3:19" s="19" customFormat="1" x14ac:dyDescent="0.2">
      <c r="C506" s="29"/>
      <c r="E506" s="10"/>
      <c r="H506" s="10"/>
      <c r="K506" s="10"/>
      <c r="N506" s="10"/>
      <c r="O506" s="20"/>
      <c r="P506" s="20"/>
      <c r="R506" s="20"/>
      <c r="S506" s="10"/>
    </row>
    <row r="507" spans="3:19" s="19" customFormat="1" x14ac:dyDescent="0.2">
      <c r="C507" s="29"/>
      <c r="E507" s="10"/>
      <c r="H507" s="10"/>
      <c r="K507" s="10"/>
      <c r="N507" s="10"/>
      <c r="O507" s="20"/>
      <c r="P507" s="20"/>
      <c r="R507" s="20"/>
      <c r="S507" s="10"/>
    </row>
    <row r="508" spans="3:19" s="19" customFormat="1" x14ac:dyDescent="0.2">
      <c r="C508" s="29"/>
      <c r="E508" s="10"/>
      <c r="H508" s="10"/>
      <c r="K508" s="10"/>
      <c r="N508" s="10"/>
      <c r="O508" s="20"/>
      <c r="P508" s="20"/>
      <c r="R508" s="20"/>
      <c r="S508" s="10"/>
    </row>
    <row r="509" spans="3:19" s="19" customFormat="1" x14ac:dyDescent="0.2">
      <c r="C509" s="29"/>
      <c r="E509" s="10"/>
      <c r="H509" s="10"/>
      <c r="K509" s="10"/>
      <c r="N509" s="10"/>
      <c r="O509" s="20"/>
      <c r="P509" s="20"/>
      <c r="R509" s="20"/>
      <c r="S509" s="10"/>
    </row>
    <row r="510" spans="3:19" s="19" customFormat="1" x14ac:dyDescent="0.2">
      <c r="C510" s="29"/>
      <c r="E510" s="10"/>
      <c r="H510" s="10"/>
      <c r="K510" s="10"/>
      <c r="N510" s="10"/>
      <c r="O510" s="20"/>
      <c r="P510" s="20"/>
      <c r="R510" s="20"/>
      <c r="S510" s="10"/>
    </row>
    <row r="511" spans="3:19" s="19" customFormat="1" x14ac:dyDescent="0.2">
      <c r="C511" s="29"/>
      <c r="E511" s="10"/>
      <c r="H511" s="10"/>
      <c r="K511" s="10"/>
      <c r="N511" s="10"/>
      <c r="O511" s="20"/>
      <c r="P511" s="20"/>
      <c r="R511" s="20"/>
      <c r="S511" s="10"/>
    </row>
    <row r="512" spans="3:19" s="19" customFormat="1" x14ac:dyDescent="0.2">
      <c r="C512" s="29"/>
      <c r="E512" s="10"/>
      <c r="H512" s="10"/>
      <c r="K512" s="10"/>
      <c r="N512" s="10"/>
      <c r="O512" s="20"/>
      <c r="P512" s="20"/>
      <c r="R512" s="20"/>
      <c r="S512" s="10"/>
    </row>
    <row r="513" spans="3:19" s="19" customFormat="1" x14ac:dyDescent="0.2">
      <c r="C513" s="29"/>
      <c r="E513" s="10"/>
      <c r="H513" s="10"/>
      <c r="K513" s="10"/>
      <c r="N513" s="10"/>
      <c r="O513" s="20"/>
      <c r="P513" s="20"/>
      <c r="R513" s="20"/>
      <c r="S513" s="10"/>
    </row>
    <row r="514" spans="3:19" s="19" customFormat="1" x14ac:dyDescent="0.2">
      <c r="C514" s="29"/>
      <c r="E514" s="10"/>
      <c r="H514" s="10"/>
      <c r="K514" s="10"/>
      <c r="N514" s="10"/>
      <c r="O514" s="20"/>
      <c r="P514" s="20"/>
      <c r="R514" s="20"/>
      <c r="S514" s="10"/>
    </row>
    <row r="515" spans="3:19" s="19" customFormat="1" x14ac:dyDescent="0.2">
      <c r="C515" s="29"/>
      <c r="E515" s="10"/>
      <c r="H515" s="10"/>
      <c r="K515" s="10"/>
      <c r="N515" s="10"/>
      <c r="O515" s="20"/>
      <c r="P515" s="20"/>
      <c r="R515" s="20"/>
      <c r="S515" s="10"/>
    </row>
    <row r="516" spans="3:19" s="19" customFormat="1" x14ac:dyDescent="0.2">
      <c r="C516" s="29"/>
      <c r="E516" s="10"/>
      <c r="H516" s="10"/>
      <c r="K516" s="10"/>
      <c r="N516" s="10"/>
      <c r="O516" s="20"/>
      <c r="P516" s="20"/>
      <c r="R516" s="20"/>
      <c r="S516" s="10"/>
    </row>
    <row r="517" spans="3:19" s="19" customFormat="1" x14ac:dyDescent="0.2">
      <c r="C517" s="29"/>
      <c r="E517" s="10"/>
      <c r="H517" s="10"/>
      <c r="K517" s="10"/>
      <c r="N517" s="10"/>
      <c r="O517" s="20"/>
      <c r="P517" s="20"/>
      <c r="R517" s="20"/>
      <c r="S517" s="10"/>
    </row>
    <row r="518" spans="3:19" s="19" customFormat="1" x14ac:dyDescent="0.2">
      <c r="C518" s="29"/>
      <c r="E518" s="10"/>
      <c r="H518" s="10"/>
      <c r="K518" s="10"/>
      <c r="N518" s="10"/>
      <c r="O518" s="20"/>
      <c r="P518" s="20"/>
      <c r="R518" s="20"/>
      <c r="S518" s="10"/>
    </row>
    <row r="519" spans="3:19" s="19" customFormat="1" x14ac:dyDescent="0.2">
      <c r="C519" s="29"/>
      <c r="E519" s="10"/>
      <c r="H519" s="10"/>
      <c r="K519" s="10"/>
      <c r="N519" s="10"/>
      <c r="O519" s="20"/>
      <c r="P519" s="20"/>
      <c r="R519" s="20"/>
      <c r="S519" s="10"/>
    </row>
    <row r="520" spans="3:19" s="19" customFormat="1" x14ac:dyDescent="0.2">
      <c r="C520" s="29"/>
      <c r="E520" s="10"/>
      <c r="H520" s="10"/>
      <c r="K520" s="10"/>
      <c r="N520" s="10"/>
      <c r="O520" s="20"/>
      <c r="P520" s="20"/>
      <c r="R520" s="20"/>
      <c r="S520" s="10"/>
    </row>
    <row r="521" spans="3:19" s="19" customFormat="1" x14ac:dyDescent="0.2">
      <c r="C521" s="29"/>
      <c r="E521" s="10"/>
      <c r="H521" s="10"/>
      <c r="K521" s="10"/>
      <c r="N521" s="10"/>
      <c r="O521" s="20"/>
      <c r="P521" s="20"/>
      <c r="R521" s="20"/>
      <c r="S521" s="10"/>
    </row>
    <row r="522" spans="3:19" s="19" customFormat="1" x14ac:dyDescent="0.2">
      <c r="C522" s="29"/>
      <c r="E522" s="10"/>
      <c r="H522" s="10"/>
      <c r="K522" s="10"/>
      <c r="N522" s="10"/>
      <c r="O522" s="20"/>
      <c r="P522" s="20"/>
      <c r="R522" s="20"/>
      <c r="S522" s="10"/>
    </row>
    <row r="523" spans="3:19" s="19" customFormat="1" x14ac:dyDescent="0.2">
      <c r="C523" s="29"/>
      <c r="E523" s="10"/>
      <c r="H523" s="10"/>
      <c r="K523" s="10"/>
      <c r="N523" s="10"/>
      <c r="O523" s="20"/>
      <c r="P523" s="20"/>
      <c r="R523" s="20"/>
      <c r="S523" s="10"/>
    </row>
    <row r="524" spans="3:19" s="19" customFormat="1" x14ac:dyDescent="0.2">
      <c r="C524" s="29"/>
      <c r="E524" s="10"/>
      <c r="H524" s="10"/>
      <c r="K524" s="10"/>
      <c r="N524" s="10"/>
      <c r="O524" s="20"/>
      <c r="P524" s="20"/>
      <c r="R524" s="20"/>
      <c r="S524" s="10"/>
    </row>
    <row r="525" spans="3:19" s="19" customFormat="1" x14ac:dyDescent="0.2">
      <c r="C525" s="29"/>
      <c r="E525" s="10"/>
      <c r="H525" s="10"/>
      <c r="K525" s="10"/>
      <c r="N525" s="10"/>
      <c r="O525" s="20"/>
      <c r="P525" s="20"/>
      <c r="R525" s="20"/>
      <c r="S525" s="10"/>
    </row>
    <row r="526" spans="3:19" s="19" customFormat="1" x14ac:dyDescent="0.2">
      <c r="C526" s="29"/>
      <c r="E526" s="10"/>
      <c r="H526" s="10"/>
      <c r="K526" s="10"/>
      <c r="N526" s="10"/>
      <c r="O526" s="20"/>
      <c r="P526" s="20"/>
      <c r="R526" s="20"/>
      <c r="S526" s="10"/>
    </row>
    <row r="527" spans="3:19" s="19" customFormat="1" x14ac:dyDescent="0.2">
      <c r="C527" s="29"/>
      <c r="E527" s="10"/>
      <c r="H527" s="10"/>
      <c r="K527" s="10"/>
      <c r="N527" s="10"/>
      <c r="O527" s="20"/>
      <c r="P527" s="20"/>
      <c r="R527" s="20"/>
      <c r="S527" s="10"/>
    </row>
    <row r="528" spans="3:19" s="19" customFormat="1" x14ac:dyDescent="0.2">
      <c r="C528" s="29"/>
      <c r="E528" s="10"/>
      <c r="H528" s="10"/>
      <c r="K528" s="10"/>
      <c r="N528" s="10"/>
      <c r="O528" s="20"/>
      <c r="P528" s="20"/>
      <c r="R528" s="20"/>
      <c r="S528" s="10"/>
    </row>
    <row r="529" spans="3:19" s="19" customFormat="1" x14ac:dyDescent="0.2">
      <c r="C529" s="29"/>
      <c r="E529" s="10"/>
      <c r="H529" s="10"/>
      <c r="K529" s="10"/>
      <c r="N529" s="10"/>
      <c r="O529" s="20"/>
      <c r="P529" s="20"/>
      <c r="R529" s="20"/>
      <c r="S529" s="10"/>
    </row>
    <row r="530" spans="3:19" s="19" customFormat="1" x14ac:dyDescent="0.2">
      <c r="C530" s="29"/>
      <c r="E530" s="10"/>
      <c r="H530" s="10"/>
      <c r="K530" s="10"/>
      <c r="N530" s="10"/>
      <c r="O530" s="20"/>
      <c r="P530" s="20"/>
      <c r="R530" s="20"/>
      <c r="S530" s="10"/>
    </row>
    <row r="531" spans="3:19" s="19" customFormat="1" x14ac:dyDescent="0.2">
      <c r="C531" s="29"/>
      <c r="E531" s="10"/>
      <c r="H531" s="10"/>
      <c r="K531" s="10"/>
      <c r="N531" s="10"/>
      <c r="O531" s="20"/>
      <c r="P531" s="20"/>
      <c r="R531" s="20"/>
      <c r="S531" s="10"/>
    </row>
    <row r="532" spans="3:19" s="19" customFormat="1" x14ac:dyDescent="0.2">
      <c r="C532" s="29"/>
      <c r="E532" s="10"/>
      <c r="H532" s="10"/>
      <c r="K532" s="10"/>
      <c r="N532" s="10"/>
      <c r="O532" s="20"/>
      <c r="P532" s="20"/>
      <c r="R532" s="20"/>
      <c r="S532" s="10"/>
    </row>
    <row r="533" spans="3:19" s="19" customFormat="1" x14ac:dyDescent="0.2">
      <c r="C533" s="29"/>
      <c r="E533" s="10"/>
      <c r="H533" s="10"/>
      <c r="K533" s="10"/>
      <c r="N533" s="10"/>
      <c r="O533" s="20"/>
      <c r="P533" s="20"/>
      <c r="R533" s="20"/>
      <c r="S533" s="10"/>
    </row>
    <row r="534" spans="3:19" s="19" customFormat="1" x14ac:dyDescent="0.2">
      <c r="C534" s="29"/>
      <c r="E534" s="10"/>
      <c r="H534" s="10"/>
      <c r="K534" s="10"/>
      <c r="N534" s="10"/>
      <c r="O534" s="20"/>
      <c r="P534" s="20"/>
      <c r="R534" s="20"/>
      <c r="S534" s="10"/>
    </row>
    <row r="535" spans="3:19" s="19" customFormat="1" x14ac:dyDescent="0.2">
      <c r="C535" s="29"/>
      <c r="E535" s="10"/>
      <c r="H535" s="10"/>
      <c r="K535" s="10"/>
      <c r="N535" s="10"/>
      <c r="O535" s="20"/>
      <c r="P535" s="20"/>
      <c r="R535" s="20"/>
      <c r="S535" s="10"/>
    </row>
    <row r="536" spans="3:19" s="19" customFormat="1" x14ac:dyDescent="0.2">
      <c r="C536" s="29"/>
      <c r="E536" s="10"/>
      <c r="H536" s="10"/>
      <c r="K536" s="10"/>
      <c r="N536" s="10"/>
      <c r="O536" s="20"/>
      <c r="P536" s="20"/>
      <c r="R536" s="20"/>
      <c r="S536" s="10"/>
    </row>
    <row r="537" spans="3:19" s="19" customFormat="1" x14ac:dyDescent="0.2">
      <c r="C537" s="29"/>
      <c r="E537" s="10"/>
      <c r="H537" s="10"/>
      <c r="K537" s="10"/>
      <c r="N537" s="10"/>
      <c r="O537" s="20"/>
      <c r="P537" s="20"/>
      <c r="R537" s="20"/>
      <c r="S537" s="10"/>
    </row>
    <row r="538" spans="3:19" s="19" customFormat="1" x14ac:dyDescent="0.2">
      <c r="C538" s="29"/>
      <c r="E538" s="10"/>
      <c r="H538" s="10"/>
      <c r="K538" s="10"/>
      <c r="N538" s="10"/>
      <c r="O538" s="20"/>
      <c r="P538" s="20"/>
      <c r="R538" s="20"/>
      <c r="S538" s="10"/>
    </row>
    <row r="539" spans="3:19" s="19" customFormat="1" x14ac:dyDescent="0.2">
      <c r="C539" s="29"/>
      <c r="E539" s="10"/>
      <c r="H539" s="10"/>
      <c r="K539" s="10"/>
      <c r="N539" s="10"/>
      <c r="O539" s="20"/>
      <c r="P539" s="20"/>
      <c r="R539" s="20"/>
      <c r="S539" s="10"/>
    </row>
    <row r="540" spans="3:19" s="19" customFormat="1" x14ac:dyDescent="0.2">
      <c r="C540" s="29"/>
      <c r="E540" s="10"/>
      <c r="H540" s="10"/>
      <c r="K540" s="10"/>
      <c r="N540" s="10"/>
      <c r="O540" s="20"/>
      <c r="P540" s="20"/>
      <c r="R540" s="20"/>
      <c r="S540" s="10"/>
    </row>
    <row r="541" spans="3:19" s="19" customFormat="1" x14ac:dyDescent="0.2">
      <c r="C541" s="29"/>
      <c r="E541" s="10"/>
      <c r="H541" s="10"/>
      <c r="K541" s="10"/>
      <c r="N541" s="10"/>
      <c r="O541" s="20"/>
      <c r="P541" s="20"/>
      <c r="R541" s="20"/>
      <c r="S541" s="10"/>
    </row>
    <row r="542" spans="3:19" s="19" customFormat="1" x14ac:dyDescent="0.2">
      <c r="C542" s="29"/>
      <c r="E542" s="10"/>
      <c r="H542" s="10"/>
      <c r="K542" s="10"/>
      <c r="N542" s="10"/>
      <c r="O542" s="20"/>
      <c r="P542" s="20"/>
      <c r="R542" s="20"/>
      <c r="S542" s="10"/>
    </row>
    <row r="543" spans="3:19" s="19" customFormat="1" x14ac:dyDescent="0.2">
      <c r="C543" s="29"/>
      <c r="E543" s="10"/>
      <c r="H543" s="10"/>
      <c r="K543" s="10"/>
      <c r="N543" s="10"/>
      <c r="O543" s="20"/>
      <c r="P543" s="20"/>
      <c r="R543" s="20"/>
      <c r="S543" s="10"/>
    </row>
    <row r="544" spans="3:19" s="19" customFormat="1" x14ac:dyDescent="0.2">
      <c r="C544" s="29"/>
      <c r="E544" s="10"/>
      <c r="H544" s="10"/>
      <c r="K544" s="10"/>
      <c r="N544" s="10"/>
      <c r="O544" s="20"/>
      <c r="P544" s="20"/>
      <c r="R544" s="20"/>
      <c r="S544" s="10"/>
    </row>
    <row r="545" spans="3:19" s="19" customFormat="1" x14ac:dyDescent="0.2">
      <c r="C545" s="29"/>
      <c r="E545" s="10"/>
      <c r="H545" s="10"/>
      <c r="K545" s="10"/>
      <c r="N545" s="10"/>
      <c r="O545" s="20"/>
      <c r="P545" s="20"/>
      <c r="R545" s="20"/>
      <c r="S545" s="10"/>
    </row>
    <row r="546" spans="3:19" s="19" customFormat="1" x14ac:dyDescent="0.2">
      <c r="C546" s="29"/>
      <c r="E546" s="10"/>
      <c r="H546" s="10"/>
      <c r="K546" s="10"/>
      <c r="N546" s="10"/>
      <c r="O546" s="20"/>
      <c r="P546" s="20"/>
      <c r="R546" s="20"/>
      <c r="S546" s="10"/>
    </row>
    <row r="547" spans="3:19" s="19" customFormat="1" x14ac:dyDescent="0.2">
      <c r="C547" s="29"/>
      <c r="E547" s="10"/>
      <c r="H547" s="10"/>
      <c r="K547" s="10"/>
      <c r="N547" s="10"/>
      <c r="O547" s="20"/>
      <c r="P547" s="20"/>
      <c r="R547" s="20"/>
      <c r="S547" s="10"/>
    </row>
    <row r="548" spans="3:19" s="19" customFormat="1" x14ac:dyDescent="0.2">
      <c r="C548" s="29"/>
      <c r="E548" s="10"/>
      <c r="H548" s="10"/>
      <c r="K548" s="10"/>
      <c r="N548" s="10"/>
      <c r="O548" s="20"/>
      <c r="P548" s="20"/>
      <c r="R548" s="20"/>
      <c r="S548" s="10"/>
    </row>
    <row r="549" spans="3:19" s="19" customFormat="1" x14ac:dyDescent="0.2">
      <c r="C549" s="29"/>
      <c r="E549" s="10"/>
      <c r="H549" s="10"/>
      <c r="K549" s="10"/>
      <c r="N549" s="10"/>
      <c r="O549" s="20"/>
      <c r="P549" s="20"/>
      <c r="R549" s="20"/>
      <c r="S549" s="10"/>
    </row>
    <row r="550" spans="3:19" s="19" customFormat="1" x14ac:dyDescent="0.2">
      <c r="C550" s="29"/>
      <c r="E550" s="10"/>
      <c r="H550" s="10"/>
      <c r="K550" s="10"/>
      <c r="N550" s="10"/>
      <c r="O550" s="20"/>
      <c r="P550" s="20"/>
      <c r="R550" s="20"/>
      <c r="S550" s="10"/>
    </row>
    <row r="551" spans="3:19" s="19" customFormat="1" x14ac:dyDescent="0.2">
      <c r="C551" s="29"/>
      <c r="E551" s="10"/>
      <c r="H551" s="10"/>
      <c r="K551" s="10"/>
      <c r="N551" s="10"/>
      <c r="O551" s="20"/>
      <c r="P551" s="20"/>
      <c r="R551" s="20"/>
      <c r="S551" s="10"/>
    </row>
    <row r="552" spans="3:19" s="19" customFormat="1" x14ac:dyDescent="0.2">
      <c r="C552" s="29"/>
      <c r="E552" s="10"/>
      <c r="H552" s="10"/>
      <c r="K552" s="10"/>
      <c r="N552" s="10"/>
      <c r="O552" s="20"/>
      <c r="P552" s="20"/>
      <c r="R552" s="20"/>
      <c r="S552" s="10"/>
    </row>
    <row r="553" spans="3:19" s="19" customFormat="1" x14ac:dyDescent="0.2">
      <c r="C553" s="29"/>
      <c r="E553" s="10"/>
      <c r="H553" s="10"/>
      <c r="K553" s="10"/>
      <c r="N553" s="10"/>
      <c r="O553" s="20"/>
      <c r="P553" s="20"/>
      <c r="R553" s="20"/>
      <c r="S553" s="10"/>
    </row>
    <row r="554" spans="3:19" s="19" customFormat="1" x14ac:dyDescent="0.2">
      <c r="C554" s="29"/>
      <c r="E554" s="10"/>
      <c r="H554" s="10"/>
      <c r="K554" s="10"/>
      <c r="N554" s="10"/>
      <c r="O554" s="20"/>
      <c r="P554" s="20"/>
      <c r="R554" s="20"/>
      <c r="S554" s="10"/>
    </row>
    <row r="555" spans="3:19" s="19" customFormat="1" x14ac:dyDescent="0.2">
      <c r="C555" s="29"/>
      <c r="E555" s="10"/>
      <c r="H555" s="10"/>
      <c r="K555" s="10"/>
      <c r="N555" s="10"/>
      <c r="O555" s="20"/>
      <c r="P555" s="20"/>
      <c r="R555" s="20"/>
      <c r="S555" s="10"/>
    </row>
    <row r="556" spans="3:19" s="19" customFormat="1" x14ac:dyDescent="0.2">
      <c r="C556" s="29"/>
      <c r="E556" s="10"/>
      <c r="H556" s="10"/>
      <c r="K556" s="10"/>
      <c r="N556" s="10"/>
      <c r="O556" s="20"/>
      <c r="P556" s="20"/>
      <c r="R556" s="20"/>
      <c r="S556" s="10"/>
    </row>
    <row r="557" spans="3:19" s="19" customFormat="1" x14ac:dyDescent="0.2">
      <c r="C557" s="29"/>
      <c r="E557" s="10"/>
      <c r="H557" s="10"/>
      <c r="K557" s="10"/>
      <c r="N557" s="10"/>
      <c r="O557" s="20"/>
      <c r="P557" s="20"/>
      <c r="R557" s="20"/>
      <c r="S557" s="10"/>
    </row>
    <row r="558" spans="3:19" s="19" customFormat="1" x14ac:dyDescent="0.2">
      <c r="C558" s="29"/>
      <c r="E558" s="10"/>
      <c r="H558" s="10"/>
      <c r="K558" s="10"/>
      <c r="N558" s="10"/>
      <c r="O558" s="20"/>
      <c r="P558" s="20"/>
      <c r="R558" s="20"/>
      <c r="S558" s="10"/>
    </row>
    <row r="559" spans="3:19" s="19" customFormat="1" x14ac:dyDescent="0.2">
      <c r="C559" s="29"/>
      <c r="E559" s="10"/>
      <c r="H559" s="10"/>
      <c r="K559" s="10"/>
      <c r="N559" s="10"/>
      <c r="O559" s="20"/>
      <c r="P559" s="20"/>
      <c r="R559" s="20"/>
      <c r="S559" s="10"/>
    </row>
    <row r="560" spans="3:19" s="19" customFormat="1" x14ac:dyDescent="0.2">
      <c r="C560" s="29"/>
      <c r="E560" s="10"/>
      <c r="H560" s="10"/>
      <c r="K560" s="10"/>
      <c r="N560" s="10"/>
      <c r="O560" s="20"/>
      <c r="P560" s="20"/>
      <c r="R560" s="20"/>
      <c r="S560" s="10"/>
    </row>
    <row r="561" spans="3:19" s="19" customFormat="1" x14ac:dyDescent="0.2">
      <c r="C561" s="29"/>
      <c r="E561" s="10"/>
      <c r="H561" s="10"/>
      <c r="K561" s="10"/>
      <c r="N561" s="10"/>
      <c r="O561" s="20"/>
      <c r="P561" s="20"/>
      <c r="R561" s="20"/>
      <c r="S561" s="10"/>
    </row>
    <row r="562" spans="3:19" s="19" customFormat="1" x14ac:dyDescent="0.2">
      <c r="C562" s="29"/>
      <c r="E562" s="10"/>
      <c r="H562" s="10"/>
      <c r="K562" s="10"/>
      <c r="N562" s="10"/>
      <c r="O562" s="20"/>
      <c r="P562" s="20"/>
      <c r="R562" s="20"/>
      <c r="S562" s="10"/>
    </row>
    <row r="563" spans="3:19" s="19" customFormat="1" x14ac:dyDescent="0.2">
      <c r="C563" s="29"/>
      <c r="E563" s="10"/>
      <c r="H563" s="10"/>
      <c r="K563" s="10"/>
      <c r="N563" s="10"/>
      <c r="O563" s="20"/>
      <c r="P563" s="20"/>
      <c r="R563" s="20"/>
      <c r="S563" s="10"/>
    </row>
    <row r="564" spans="3:19" s="19" customFormat="1" x14ac:dyDescent="0.2">
      <c r="C564" s="29"/>
      <c r="E564" s="10"/>
      <c r="H564" s="10"/>
      <c r="K564" s="10"/>
      <c r="N564" s="10"/>
      <c r="O564" s="20"/>
      <c r="P564" s="20"/>
      <c r="R564" s="20"/>
      <c r="S564" s="10"/>
    </row>
    <row r="565" spans="3:19" s="19" customFormat="1" x14ac:dyDescent="0.2">
      <c r="C565" s="29"/>
      <c r="E565" s="10"/>
      <c r="H565" s="10"/>
      <c r="K565" s="10"/>
      <c r="N565" s="10"/>
      <c r="O565" s="20"/>
      <c r="P565" s="20"/>
      <c r="R565" s="20"/>
      <c r="S565" s="10"/>
    </row>
    <row r="566" spans="3:19" s="19" customFormat="1" x14ac:dyDescent="0.2">
      <c r="C566" s="29"/>
      <c r="E566" s="10"/>
      <c r="H566" s="10"/>
      <c r="K566" s="10"/>
      <c r="N566" s="10"/>
      <c r="O566" s="20"/>
      <c r="P566" s="20"/>
      <c r="R566" s="20"/>
      <c r="S566" s="10"/>
    </row>
    <row r="567" spans="3:19" s="19" customFormat="1" x14ac:dyDescent="0.2">
      <c r="C567" s="29"/>
      <c r="E567" s="10"/>
      <c r="H567" s="10"/>
      <c r="K567" s="10"/>
      <c r="N567" s="10"/>
      <c r="O567" s="20"/>
      <c r="P567" s="20"/>
      <c r="R567" s="20"/>
      <c r="S567" s="10"/>
    </row>
    <row r="568" spans="3:19" s="19" customFormat="1" x14ac:dyDescent="0.2">
      <c r="C568" s="29"/>
      <c r="E568" s="10"/>
      <c r="H568" s="10"/>
      <c r="K568" s="10"/>
      <c r="N568" s="10"/>
      <c r="O568" s="20"/>
      <c r="P568" s="20"/>
      <c r="R568" s="20"/>
      <c r="S568" s="10"/>
    </row>
    <row r="569" spans="3:19" s="19" customFormat="1" x14ac:dyDescent="0.2">
      <c r="C569" s="29"/>
      <c r="E569" s="10"/>
      <c r="H569" s="10"/>
      <c r="K569" s="10"/>
      <c r="N569" s="10"/>
      <c r="O569" s="20"/>
      <c r="P569" s="20"/>
      <c r="R569" s="20"/>
      <c r="S569" s="10"/>
    </row>
    <row r="570" spans="3:19" s="19" customFormat="1" x14ac:dyDescent="0.2">
      <c r="C570" s="29"/>
      <c r="E570" s="10"/>
      <c r="H570" s="10"/>
      <c r="K570" s="10"/>
      <c r="N570" s="10"/>
      <c r="O570" s="20"/>
      <c r="P570" s="20"/>
      <c r="R570" s="20"/>
      <c r="S570" s="10"/>
    </row>
    <row r="571" spans="3:19" s="19" customFormat="1" x14ac:dyDescent="0.2">
      <c r="C571" s="29"/>
      <c r="E571" s="10"/>
      <c r="H571" s="10"/>
      <c r="K571" s="10"/>
      <c r="N571" s="10"/>
      <c r="O571" s="20"/>
      <c r="P571" s="20"/>
      <c r="R571" s="20"/>
      <c r="S571" s="10"/>
    </row>
    <row r="572" spans="3:19" s="19" customFormat="1" x14ac:dyDescent="0.2">
      <c r="C572" s="29"/>
      <c r="E572" s="10"/>
      <c r="H572" s="10"/>
      <c r="K572" s="10"/>
      <c r="N572" s="10"/>
      <c r="O572" s="20"/>
      <c r="P572" s="20"/>
      <c r="R572" s="20"/>
      <c r="S572" s="10"/>
    </row>
    <row r="573" spans="3:19" s="19" customFormat="1" x14ac:dyDescent="0.2">
      <c r="C573" s="29"/>
      <c r="E573" s="10"/>
      <c r="H573" s="10"/>
      <c r="K573" s="10"/>
      <c r="N573" s="10"/>
      <c r="O573" s="20"/>
      <c r="P573" s="20"/>
      <c r="R573" s="20"/>
      <c r="S573" s="10"/>
    </row>
    <row r="574" spans="3:19" s="19" customFormat="1" x14ac:dyDescent="0.2">
      <c r="C574" s="29"/>
      <c r="E574" s="10"/>
      <c r="H574" s="10"/>
      <c r="K574" s="10"/>
      <c r="N574" s="10"/>
      <c r="O574" s="20"/>
      <c r="P574" s="20"/>
      <c r="R574" s="20"/>
      <c r="S574" s="10"/>
    </row>
    <row r="575" spans="3:19" s="19" customFormat="1" x14ac:dyDescent="0.2">
      <c r="C575" s="29"/>
      <c r="E575" s="10"/>
      <c r="H575" s="10"/>
      <c r="K575" s="10"/>
      <c r="N575" s="10"/>
      <c r="O575" s="20"/>
      <c r="P575" s="20"/>
      <c r="R575" s="20"/>
      <c r="S575" s="10"/>
    </row>
    <row r="576" spans="3:19" s="19" customFormat="1" x14ac:dyDescent="0.2">
      <c r="C576" s="29"/>
      <c r="E576" s="10"/>
      <c r="H576" s="10"/>
      <c r="K576" s="10"/>
      <c r="N576" s="10"/>
      <c r="O576" s="20"/>
      <c r="P576" s="20"/>
      <c r="R576" s="20"/>
      <c r="S576" s="10"/>
    </row>
    <row r="577" spans="3:19" s="19" customFormat="1" x14ac:dyDescent="0.2">
      <c r="C577" s="29"/>
      <c r="E577" s="10"/>
      <c r="H577" s="10"/>
      <c r="K577" s="10"/>
      <c r="N577" s="10"/>
      <c r="O577" s="20"/>
      <c r="P577" s="20"/>
      <c r="R577" s="20"/>
      <c r="S577" s="10"/>
    </row>
    <row r="578" spans="3:19" s="19" customFormat="1" x14ac:dyDescent="0.2">
      <c r="C578" s="29"/>
      <c r="E578" s="10"/>
      <c r="H578" s="10"/>
      <c r="K578" s="10"/>
      <c r="N578" s="10"/>
      <c r="O578" s="20"/>
      <c r="P578" s="20"/>
      <c r="R578" s="20"/>
      <c r="S578" s="10"/>
    </row>
    <row r="579" spans="3:19" s="19" customFormat="1" x14ac:dyDescent="0.2">
      <c r="C579" s="29"/>
      <c r="E579" s="10"/>
      <c r="H579" s="10"/>
      <c r="K579" s="10"/>
      <c r="N579" s="10"/>
      <c r="O579" s="20"/>
      <c r="P579" s="20"/>
      <c r="R579" s="20"/>
      <c r="S579" s="10"/>
    </row>
    <row r="580" spans="3:19" s="19" customFormat="1" x14ac:dyDescent="0.2">
      <c r="C580" s="29"/>
      <c r="E580" s="10"/>
      <c r="H580" s="10"/>
      <c r="K580" s="10"/>
      <c r="N580" s="10"/>
      <c r="O580" s="20"/>
      <c r="P580" s="20"/>
      <c r="R580" s="20"/>
      <c r="S580" s="10"/>
    </row>
    <row r="581" spans="3:19" s="19" customFormat="1" x14ac:dyDescent="0.2">
      <c r="C581" s="29"/>
      <c r="E581" s="10"/>
      <c r="H581" s="10"/>
      <c r="K581" s="10"/>
      <c r="N581" s="10"/>
      <c r="O581" s="20"/>
      <c r="P581" s="20"/>
      <c r="R581" s="20"/>
      <c r="S581" s="10"/>
    </row>
    <row r="582" spans="3:19" s="19" customFormat="1" x14ac:dyDescent="0.2">
      <c r="C582" s="29"/>
      <c r="E582" s="10"/>
      <c r="H582" s="10"/>
      <c r="K582" s="10"/>
      <c r="N582" s="10"/>
      <c r="O582" s="20"/>
      <c r="P582" s="20"/>
      <c r="R582" s="20"/>
      <c r="S582" s="10"/>
    </row>
    <row r="583" spans="3:19" s="19" customFormat="1" x14ac:dyDescent="0.2">
      <c r="C583" s="29"/>
      <c r="E583" s="10"/>
      <c r="H583" s="10"/>
      <c r="K583" s="10"/>
      <c r="N583" s="10"/>
      <c r="O583" s="20"/>
      <c r="P583" s="20"/>
      <c r="R583" s="20"/>
      <c r="S583" s="10"/>
    </row>
    <row r="584" spans="3:19" s="19" customFormat="1" x14ac:dyDescent="0.2">
      <c r="C584" s="29"/>
      <c r="E584" s="10"/>
      <c r="H584" s="10"/>
      <c r="K584" s="10"/>
      <c r="N584" s="10"/>
      <c r="O584" s="20"/>
      <c r="P584" s="20"/>
      <c r="R584" s="20"/>
      <c r="S584" s="10"/>
    </row>
    <row r="585" spans="3:19" s="19" customFormat="1" x14ac:dyDescent="0.2">
      <c r="C585" s="29"/>
      <c r="E585" s="10"/>
      <c r="H585" s="10"/>
      <c r="K585" s="10"/>
      <c r="N585" s="10"/>
      <c r="O585" s="20"/>
      <c r="P585" s="20"/>
      <c r="R585" s="20"/>
      <c r="S585" s="10"/>
    </row>
    <row r="586" spans="3:19" s="19" customFormat="1" x14ac:dyDescent="0.2">
      <c r="C586" s="29"/>
      <c r="E586" s="10"/>
      <c r="H586" s="10"/>
      <c r="K586" s="10"/>
      <c r="N586" s="10"/>
      <c r="O586" s="20"/>
      <c r="P586" s="20"/>
      <c r="R586" s="20"/>
      <c r="S586" s="10"/>
    </row>
    <row r="587" spans="3:19" s="19" customFormat="1" x14ac:dyDescent="0.2">
      <c r="C587" s="29"/>
      <c r="E587" s="10"/>
      <c r="H587" s="10"/>
      <c r="K587" s="10"/>
      <c r="N587" s="10"/>
      <c r="O587" s="20"/>
      <c r="P587" s="20"/>
      <c r="R587" s="20"/>
      <c r="S587" s="10"/>
    </row>
    <row r="588" spans="3:19" s="19" customFormat="1" x14ac:dyDescent="0.2">
      <c r="C588" s="29"/>
      <c r="E588" s="10"/>
      <c r="H588" s="10"/>
      <c r="K588" s="10"/>
      <c r="N588" s="10"/>
      <c r="O588" s="20"/>
      <c r="P588" s="20"/>
      <c r="R588" s="20"/>
      <c r="S588" s="10"/>
    </row>
    <row r="589" spans="3:19" s="19" customFormat="1" x14ac:dyDescent="0.2">
      <c r="C589" s="29"/>
      <c r="E589" s="10"/>
      <c r="H589" s="10"/>
      <c r="K589" s="10"/>
      <c r="N589" s="10"/>
      <c r="O589" s="20"/>
      <c r="P589" s="20"/>
      <c r="R589" s="20"/>
      <c r="S589" s="10"/>
    </row>
    <row r="590" spans="3:19" s="19" customFormat="1" x14ac:dyDescent="0.2">
      <c r="C590" s="29"/>
      <c r="E590" s="10"/>
      <c r="H590" s="10"/>
      <c r="K590" s="10"/>
      <c r="N590" s="10"/>
      <c r="O590" s="20"/>
      <c r="P590" s="20"/>
      <c r="R590" s="20"/>
      <c r="S590" s="10"/>
    </row>
    <row r="591" spans="3:19" s="19" customFormat="1" x14ac:dyDescent="0.2">
      <c r="C591" s="29"/>
      <c r="E591" s="10"/>
      <c r="H591" s="10"/>
      <c r="K591" s="10"/>
      <c r="N591" s="10"/>
      <c r="O591" s="20"/>
      <c r="P591" s="20"/>
      <c r="R591" s="20"/>
      <c r="S591" s="10"/>
    </row>
    <row r="592" spans="3:19" s="19" customFormat="1" x14ac:dyDescent="0.2">
      <c r="C592" s="29"/>
      <c r="E592" s="10"/>
      <c r="H592" s="10"/>
      <c r="K592" s="10"/>
      <c r="N592" s="10"/>
      <c r="O592" s="20"/>
      <c r="P592" s="20"/>
      <c r="R592" s="20"/>
      <c r="S592" s="10"/>
    </row>
    <row r="593" spans="3:19" s="19" customFormat="1" x14ac:dyDescent="0.2">
      <c r="C593" s="29"/>
      <c r="E593" s="10"/>
      <c r="H593" s="10"/>
      <c r="K593" s="10"/>
      <c r="N593" s="10"/>
      <c r="O593" s="20"/>
      <c r="P593" s="20"/>
      <c r="R593" s="20"/>
      <c r="S593" s="10"/>
    </row>
    <row r="594" spans="3:19" s="19" customFormat="1" x14ac:dyDescent="0.2">
      <c r="C594" s="29"/>
      <c r="E594" s="10"/>
      <c r="H594" s="10"/>
      <c r="K594" s="10"/>
      <c r="N594" s="10"/>
      <c r="O594" s="20"/>
      <c r="P594" s="20"/>
      <c r="R594" s="20"/>
      <c r="S594" s="10"/>
    </row>
    <row r="595" spans="3:19" s="19" customFormat="1" x14ac:dyDescent="0.2">
      <c r="C595" s="29"/>
      <c r="E595" s="10"/>
      <c r="H595" s="10"/>
      <c r="K595" s="10"/>
      <c r="N595" s="10"/>
      <c r="O595" s="20"/>
      <c r="P595" s="20"/>
      <c r="R595" s="20"/>
      <c r="S595" s="10"/>
    </row>
    <row r="596" spans="3:19" s="19" customFormat="1" x14ac:dyDescent="0.2">
      <c r="C596" s="29"/>
      <c r="E596" s="10"/>
      <c r="H596" s="10"/>
      <c r="K596" s="10"/>
      <c r="N596" s="10"/>
      <c r="O596" s="20"/>
      <c r="P596" s="20"/>
      <c r="R596" s="20"/>
      <c r="S596" s="10"/>
    </row>
    <row r="597" spans="3:19" s="19" customFormat="1" x14ac:dyDescent="0.2">
      <c r="C597" s="29"/>
      <c r="E597" s="10"/>
      <c r="H597" s="10"/>
      <c r="K597" s="10"/>
      <c r="N597" s="10"/>
      <c r="O597" s="20"/>
      <c r="P597" s="20"/>
      <c r="R597" s="20"/>
      <c r="S597" s="10"/>
    </row>
    <row r="598" spans="3:19" s="19" customFormat="1" x14ac:dyDescent="0.2">
      <c r="C598" s="29"/>
      <c r="E598" s="10"/>
      <c r="H598" s="10"/>
      <c r="K598" s="10"/>
      <c r="N598" s="10"/>
      <c r="O598" s="20"/>
      <c r="P598" s="20"/>
      <c r="R598" s="20"/>
      <c r="S598" s="10"/>
    </row>
    <row r="599" spans="3:19" s="19" customFormat="1" x14ac:dyDescent="0.2">
      <c r="C599" s="29"/>
      <c r="E599" s="10"/>
      <c r="H599" s="10"/>
      <c r="K599" s="10"/>
      <c r="N599" s="10"/>
      <c r="O599" s="20"/>
      <c r="P599" s="20"/>
      <c r="R599" s="20"/>
      <c r="S599" s="10"/>
    </row>
    <row r="600" spans="3:19" s="19" customFormat="1" x14ac:dyDescent="0.2">
      <c r="C600" s="29"/>
      <c r="E600" s="10"/>
      <c r="H600" s="10"/>
      <c r="K600" s="10"/>
      <c r="N600" s="10"/>
      <c r="O600" s="20"/>
      <c r="P600" s="20"/>
      <c r="R600" s="20"/>
      <c r="S600" s="10"/>
    </row>
    <row r="601" spans="3:19" s="19" customFormat="1" x14ac:dyDescent="0.2">
      <c r="C601" s="29"/>
      <c r="E601" s="10"/>
      <c r="H601" s="10"/>
      <c r="K601" s="10"/>
      <c r="N601" s="10"/>
      <c r="O601" s="20"/>
      <c r="P601" s="20"/>
      <c r="R601" s="20"/>
      <c r="S601" s="10"/>
    </row>
    <row r="602" spans="3:19" s="19" customFormat="1" x14ac:dyDescent="0.2">
      <c r="C602" s="29"/>
      <c r="E602" s="10"/>
      <c r="H602" s="10"/>
      <c r="K602" s="10"/>
      <c r="N602" s="10"/>
      <c r="O602" s="20"/>
      <c r="P602" s="20"/>
      <c r="R602" s="20"/>
      <c r="S602" s="10"/>
    </row>
    <row r="603" spans="3:19" s="19" customFormat="1" x14ac:dyDescent="0.2">
      <c r="C603" s="29"/>
      <c r="E603" s="10"/>
      <c r="H603" s="10"/>
      <c r="K603" s="10"/>
      <c r="N603" s="10"/>
      <c r="O603" s="20"/>
      <c r="P603" s="20"/>
      <c r="R603" s="20"/>
      <c r="S603" s="10"/>
    </row>
    <row r="604" spans="3:19" s="19" customFormat="1" x14ac:dyDescent="0.2">
      <c r="C604" s="29"/>
      <c r="E604" s="10"/>
      <c r="H604" s="10"/>
      <c r="K604" s="10"/>
      <c r="N604" s="10"/>
      <c r="O604" s="20"/>
      <c r="P604" s="20"/>
      <c r="R604" s="20"/>
      <c r="S604" s="10"/>
    </row>
    <row r="605" spans="3:19" s="19" customFormat="1" x14ac:dyDescent="0.2">
      <c r="C605" s="29"/>
      <c r="E605" s="10"/>
      <c r="H605" s="10"/>
      <c r="K605" s="10"/>
      <c r="N605" s="10"/>
      <c r="O605" s="20"/>
      <c r="P605" s="20"/>
      <c r="R605" s="20"/>
      <c r="S605" s="10"/>
    </row>
    <row r="606" spans="3:19" s="19" customFormat="1" x14ac:dyDescent="0.2">
      <c r="C606" s="29"/>
      <c r="E606" s="10"/>
      <c r="H606" s="10"/>
      <c r="K606" s="10"/>
      <c r="N606" s="10"/>
      <c r="O606" s="20"/>
      <c r="P606" s="20"/>
      <c r="R606" s="20"/>
      <c r="S606" s="10"/>
    </row>
    <row r="607" spans="3:19" s="19" customFormat="1" x14ac:dyDescent="0.2">
      <c r="C607" s="29"/>
      <c r="E607" s="10"/>
      <c r="H607" s="10"/>
      <c r="K607" s="10"/>
      <c r="N607" s="10"/>
      <c r="O607" s="20"/>
      <c r="P607" s="20"/>
      <c r="R607" s="20"/>
      <c r="S607" s="10"/>
    </row>
    <row r="608" spans="3:19" s="19" customFormat="1" x14ac:dyDescent="0.2">
      <c r="C608" s="29"/>
      <c r="E608" s="10"/>
      <c r="H608" s="10"/>
      <c r="K608" s="10"/>
      <c r="N608" s="10"/>
      <c r="O608" s="20"/>
      <c r="P608" s="20"/>
      <c r="R608" s="20"/>
      <c r="S608" s="10"/>
    </row>
    <row r="609" spans="3:19" s="19" customFormat="1" x14ac:dyDescent="0.2">
      <c r="C609" s="29"/>
      <c r="E609" s="10"/>
      <c r="H609" s="10"/>
      <c r="K609" s="10"/>
      <c r="N609" s="10"/>
      <c r="O609" s="20"/>
      <c r="P609" s="20"/>
      <c r="R609" s="20"/>
      <c r="S609" s="10"/>
    </row>
    <row r="610" spans="3:19" s="19" customFormat="1" x14ac:dyDescent="0.2">
      <c r="C610" s="29"/>
      <c r="E610" s="10"/>
      <c r="H610" s="10"/>
      <c r="K610" s="10"/>
      <c r="N610" s="10"/>
      <c r="O610" s="20"/>
      <c r="P610" s="20"/>
      <c r="R610" s="20"/>
      <c r="S610" s="10"/>
    </row>
    <row r="611" spans="3:19" s="19" customFormat="1" x14ac:dyDescent="0.2">
      <c r="C611" s="29"/>
      <c r="E611" s="10"/>
      <c r="H611" s="10"/>
      <c r="K611" s="10"/>
      <c r="N611" s="10"/>
      <c r="O611" s="20"/>
      <c r="P611" s="20"/>
      <c r="R611" s="20"/>
      <c r="S611" s="10"/>
    </row>
    <row r="612" spans="3:19" s="19" customFormat="1" x14ac:dyDescent="0.2">
      <c r="C612" s="29"/>
      <c r="E612" s="10"/>
      <c r="H612" s="10"/>
      <c r="K612" s="10"/>
      <c r="N612" s="10"/>
      <c r="O612" s="20"/>
      <c r="P612" s="20"/>
      <c r="R612" s="20"/>
      <c r="S612" s="10"/>
    </row>
    <row r="613" spans="3:19" s="19" customFormat="1" x14ac:dyDescent="0.2">
      <c r="C613" s="29"/>
      <c r="E613" s="10"/>
      <c r="H613" s="10"/>
      <c r="K613" s="10"/>
      <c r="N613" s="10"/>
      <c r="O613" s="20"/>
      <c r="P613" s="20"/>
      <c r="R613" s="20"/>
      <c r="S613" s="10"/>
    </row>
    <row r="614" spans="3:19" s="19" customFormat="1" x14ac:dyDescent="0.2">
      <c r="C614" s="29"/>
      <c r="E614" s="10"/>
      <c r="H614" s="10"/>
      <c r="K614" s="10"/>
      <c r="N614" s="10"/>
      <c r="O614" s="20"/>
      <c r="P614" s="20"/>
      <c r="R614" s="20"/>
      <c r="S614" s="10"/>
    </row>
    <row r="615" spans="3:19" s="19" customFormat="1" x14ac:dyDescent="0.2">
      <c r="C615" s="29"/>
      <c r="E615" s="10"/>
      <c r="H615" s="10"/>
      <c r="K615" s="10"/>
      <c r="N615" s="10"/>
      <c r="O615" s="20"/>
      <c r="P615" s="20"/>
      <c r="R615" s="20"/>
      <c r="S615" s="10"/>
    </row>
    <row r="616" spans="3:19" s="19" customFormat="1" x14ac:dyDescent="0.2">
      <c r="C616" s="29"/>
      <c r="E616" s="10"/>
      <c r="H616" s="10"/>
      <c r="K616" s="10"/>
      <c r="N616" s="10"/>
      <c r="O616" s="20"/>
      <c r="P616" s="20"/>
      <c r="R616" s="20"/>
      <c r="S616" s="10"/>
    </row>
    <row r="617" spans="3:19" s="19" customFormat="1" x14ac:dyDescent="0.2">
      <c r="C617" s="29"/>
      <c r="E617" s="10"/>
      <c r="H617" s="10"/>
      <c r="K617" s="10"/>
      <c r="N617" s="10"/>
      <c r="O617" s="20"/>
      <c r="P617" s="20"/>
      <c r="R617" s="20"/>
      <c r="S617" s="10"/>
    </row>
    <row r="618" spans="3:19" s="19" customFormat="1" x14ac:dyDescent="0.2">
      <c r="C618" s="29"/>
      <c r="E618" s="10"/>
      <c r="H618" s="10"/>
      <c r="K618" s="10"/>
      <c r="N618" s="10"/>
      <c r="O618" s="20"/>
      <c r="P618" s="20"/>
      <c r="R618" s="20"/>
      <c r="S618" s="10"/>
    </row>
    <row r="619" spans="3:19" s="19" customFormat="1" x14ac:dyDescent="0.2">
      <c r="C619" s="29"/>
      <c r="E619" s="10"/>
      <c r="H619" s="10"/>
      <c r="K619" s="10"/>
      <c r="N619" s="10"/>
      <c r="O619" s="20"/>
      <c r="P619" s="20"/>
      <c r="R619" s="20"/>
      <c r="S619" s="10"/>
    </row>
    <row r="620" spans="3:19" s="19" customFormat="1" x14ac:dyDescent="0.2">
      <c r="C620" s="29"/>
      <c r="E620" s="10"/>
      <c r="H620" s="10"/>
      <c r="K620" s="10"/>
      <c r="N620" s="10"/>
      <c r="O620" s="20"/>
      <c r="P620" s="20"/>
      <c r="R620" s="20"/>
      <c r="S620" s="10"/>
    </row>
    <row r="621" spans="3:19" s="19" customFormat="1" x14ac:dyDescent="0.2">
      <c r="C621" s="29"/>
      <c r="E621" s="10"/>
      <c r="H621" s="10"/>
      <c r="K621" s="10"/>
      <c r="N621" s="10"/>
      <c r="O621" s="20"/>
      <c r="P621" s="20"/>
      <c r="R621" s="20"/>
      <c r="S621" s="10"/>
    </row>
    <row r="622" spans="3:19" s="19" customFormat="1" x14ac:dyDescent="0.2">
      <c r="C622" s="29"/>
      <c r="E622" s="10"/>
      <c r="H622" s="10"/>
      <c r="K622" s="10"/>
      <c r="N622" s="10"/>
      <c r="O622" s="20"/>
      <c r="P622" s="20"/>
      <c r="R622" s="20"/>
      <c r="S622" s="10"/>
    </row>
    <row r="623" spans="3:19" s="19" customFormat="1" x14ac:dyDescent="0.2">
      <c r="C623" s="29"/>
      <c r="E623" s="10"/>
      <c r="H623" s="10"/>
      <c r="K623" s="10"/>
      <c r="N623" s="10"/>
      <c r="O623" s="20"/>
      <c r="P623" s="20"/>
      <c r="R623" s="20"/>
      <c r="S623" s="10"/>
    </row>
    <row r="624" spans="3:19" s="19" customFormat="1" x14ac:dyDescent="0.2">
      <c r="C624" s="29"/>
      <c r="E624" s="10"/>
      <c r="H624" s="10"/>
      <c r="K624" s="10"/>
      <c r="N624" s="10"/>
      <c r="O624" s="20"/>
      <c r="P624" s="20"/>
      <c r="R624" s="20"/>
      <c r="S624" s="10"/>
    </row>
    <row r="625" spans="3:19" s="19" customFormat="1" x14ac:dyDescent="0.2">
      <c r="C625" s="29"/>
      <c r="E625" s="10"/>
      <c r="H625" s="10"/>
      <c r="K625" s="10"/>
      <c r="N625" s="10"/>
      <c r="O625" s="20"/>
      <c r="P625" s="20"/>
      <c r="R625" s="20"/>
      <c r="S625" s="10"/>
    </row>
    <row r="626" spans="3:19" s="19" customFormat="1" x14ac:dyDescent="0.2">
      <c r="C626" s="29"/>
      <c r="E626" s="10"/>
      <c r="H626" s="10"/>
      <c r="K626" s="10"/>
      <c r="N626" s="10"/>
      <c r="O626" s="20"/>
      <c r="P626" s="20"/>
      <c r="R626" s="20"/>
      <c r="S626" s="10"/>
    </row>
    <row r="627" spans="3:19" s="19" customFormat="1" x14ac:dyDescent="0.2">
      <c r="C627" s="29"/>
      <c r="E627" s="10"/>
      <c r="H627" s="10"/>
      <c r="K627" s="10"/>
      <c r="N627" s="10"/>
      <c r="O627" s="20"/>
      <c r="P627" s="20"/>
      <c r="R627" s="20"/>
      <c r="S627" s="10"/>
    </row>
    <row r="628" spans="3:19" s="19" customFormat="1" x14ac:dyDescent="0.2">
      <c r="C628" s="29"/>
      <c r="E628" s="10"/>
      <c r="H628" s="10"/>
      <c r="K628" s="10"/>
      <c r="N628" s="10"/>
      <c r="O628" s="20"/>
      <c r="P628" s="20"/>
      <c r="R628" s="20"/>
      <c r="S628" s="10"/>
    </row>
    <row r="629" spans="3:19" s="19" customFormat="1" x14ac:dyDescent="0.2">
      <c r="C629" s="29"/>
      <c r="E629" s="10"/>
      <c r="H629" s="10"/>
      <c r="K629" s="10"/>
      <c r="N629" s="10"/>
      <c r="O629" s="20"/>
      <c r="P629" s="20"/>
      <c r="R629" s="20"/>
      <c r="S629" s="10"/>
    </row>
    <row r="630" spans="3:19" s="19" customFormat="1" x14ac:dyDescent="0.2">
      <c r="C630" s="29"/>
      <c r="E630" s="10"/>
      <c r="H630" s="10"/>
      <c r="K630" s="10"/>
      <c r="N630" s="10"/>
      <c r="O630" s="20"/>
      <c r="P630" s="20"/>
      <c r="R630" s="20"/>
      <c r="S630" s="10"/>
    </row>
    <row r="631" spans="3:19" s="19" customFormat="1" x14ac:dyDescent="0.2">
      <c r="C631" s="29"/>
      <c r="E631" s="10"/>
      <c r="H631" s="10"/>
      <c r="K631" s="10"/>
      <c r="N631" s="10"/>
      <c r="O631" s="20"/>
      <c r="P631" s="20"/>
      <c r="R631" s="20"/>
      <c r="S631" s="10"/>
    </row>
    <row r="632" spans="3:19" s="19" customFormat="1" x14ac:dyDescent="0.2">
      <c r="C632" s="29"/>
      <c r="E632" s="10"/>
      <c r="H632" s="10"/>
      <c r="K632" s="10"/>
      <c r="N632" s="10"/>
      <c r="O632" s="20"/>
      <c r="P632" s="20"/>
      <c r="R632" s="20"/>
      <c r="S632" s="10"/>
    </row>
    <row r="633" spans="3:19" s="19" customFormat="1" x14ac:dyDescent="0.2">
      <c r="C633" s="29"/>
      <c r="E633" s="10"/>
      <c r="H633" s="10"/>
      <c r="K633" s="10"/>
      <c r="N633" s="10"/>
      <c r="O633" s="20"/>
      <c r="P633" s="20"/>
      <c r="R633" s="20"/>
      <c r="S633" s="10"/>
    </row>
    <row r="634" spans="3:19" s="19" customFormat="1" x14ac:dyDescent="0.2">
      <c r="C634" s="29"/>
      <c r="E634" s="10"/>
      <c r="H634" s="10"/>
      <c r="K634" s="10"/>
      <c r="N634" s="10"/>
      <c r="O634" s="20"/>
      <c r="P634" s="20"/>
      <c r="R634" s="20"/>
      <c r="S634" s="10"/>
    </row>
    <row r="635" spans="3:19" s="19" customFormat="1" x14ac:dyDescent="0.2">
      <c r="C635" s="29"/>
      <c r="E635" s="10"/>
      <c r="H635" s="10"/>
      <c r="K635" s="10"/>
      <c r="N635" s="10"/>
      <c r="O635" s="20"/>
      <c r="P635" s="20"/>
      <c r="R635" s="20"/>
      <c r="S635" s="10"/>
    </row>
    <row r="636" spans="3:19" s="19" customFormat="1" x14ac:dyDescent="0.2">
      <c r="C636" s="29"/>
      <c r="E636" s="10"/>
      <c r="H636" s="10"/>
      <c r="K636" s="10"/>
      <c r="N636" s="10"/>
      <c r="O636" s="20"/>
      <c r="P636" s="20"/>
      <c r="R636" s="20"/>
      <c r="S636" s="10"/>
    </row>
    <row r="637" spans="3:19" s="19" customFormat="1" x14ac:dyDescent="0.2">
      <c r="C637" s="29"/>
      <c r="E637" s="10"/>
      <c r="H637" s="10"/>
      <c r="K637" s="10"/>
      <c r="N637" s="10"/>
      <c r="O637" s="20"/>
      <c r="P637" s="20"/>
      <c r="R637" s="20"/>
      <c r="S637" s="10"/>
    </row>
    <row r="638" spans="3:19" s="19" customFormat="1" x14ac:dyDescent="0.2">
      <c r="C638" s="29"/>
      <c r="E638" s="10"/>
      <c r="H638" s="10"/>
      <c r="K638" s="10"/>
      <c r="N638" s="10"/>
      <c r="O638" s="20"/>
      <c r="P638" s="20"/>
      <c r="R638" s="20"/>
      <c r="S638" s="10"/>
    </row>
    <row r="639" spans="3:19" s="19" customFormat="1" x14ac:dyDescent="0.2">
      <c r="C639" s="29"/>
      <c r="E639" s="10"/>
      <c r="H639" s="10"/>
      <c r="K639" s="10"/>
      <c r="N639" s="10"/>
      <c r="O639" s="20"/>
      <c r="P639" s="20"/>
      <c r="R639" s="20"/>
      <c r="S639" s="10"/>
    </row>
    <row r="640" spans="3:19" s="19" customFormat="1" x14ac:dyDescent="0.2">
      <c r="C640" s="29"/>
      <c r="E640" s="10"/>
      <c r="H640" s="10"/>
      <c r="K640" s="10"/>
      <c r="N640" s="10"/>
      <c r="O640" s="20"/>
      <c r="P640" s="20"/>
      <c r="R640" s="20"/>
      <c r="S640" s="10"/>
    </row>
    <row r="641" spans="3:19" s="19" customFormat="1" x14ac:dyDescent="0.2">
      <c r="C641" s="29"/>
      <c r="E641" s="10"/>
      <c r="H641" s="10"/>
      <c r="K641" s="10"/>
      <c r="N641" s="10"/>
      <c r="O641" s="20"/>
      <c r="P641" s="20"/>
      <c r="R641" s="20"/>
      <c r="S641" s="10"/>
    </row>
    <row r="642" spans="3:19" s="19" customFormat="1" x14ac:dyDescent="0.2">
      <c r="C642" s="29"/>
      <c r="E642" s="10"/>
      <c r="H642" s="10"/>
      <c r="K642" s="10"/>
      <c r="N642" s="10"/>
      <c r="O642" s="20"/>
      <c r="P642" s="20"/>
      <c r="R642" s="20"/>
      <c r="S642" s="10"/>
    </row>
    <row r="643" spans="3:19" s="19" customFormat="1" x14ac:dyDescent="0.2">
      <c r="C643" s="29"/>
      <c r="E643" s="10"/>
      <c r="H643" s="10"/>
      <c r="K643" s="10"/>
      <c r="N643" s="10"/>
      <c r="O643" s="20"/>
      <c r="P643" s="20"/>
      <c r="R643" s="20"/>
      <c r="S643" s="10"/>
    </row>
    <row r="644" spans="3:19" s="19" customFormat="1" x14ac:dyDescent="0.2">
      <c r="C644" s="29"/>
      <c r="E644" s="10"/>
      <c r="H644" s="10"/>
      <c r="K644" s="10"/>
      <c r="N644" s="10"/>
      <c r="O644" s="20"/>
      <c r="P644" s="20"/>
      <c r="R644" s="20"/>
      <c r="S644" s="10"/>
    </row>
    <row r="645" spans="3:19" s="19" customFormat="1" x14ac:dyDescent="0.2">
      <c r="C645" s="29"/>
      <c r="E645" s="10"/>
      <c r="H645" s="10"/>
      <c r="K645" s="10"/>
      <c r="N645" s="10"/>
      <c r="O645" s="20"/>
      <c r="P645" s="20"/>
      <c r="R645" s="20"/>
      <c r="S645" s="10"/>
    </row>
    <row r="646" spans="3:19" s="19" customFormat="1" x14ac:dyDescent="0.2">
      <c r="C646" s="29"/>
      <c r="E646" s="10"/>
      <c r="H646" s="10"/>
      <c r="K646" s="10"/>
      <c r="N646" s="10"/>
      <c r="O646" s="20"/>
      <c r="P646" s="20"/>
      <c r="R646" s="20"/>
      <c r="S646" s="10"/>
    </row>
    <row r="647" spans="3:19" s="19" customFormat="1" x14ac:dyDescent="0.2">
      <c r="C647" s="29"/>
      <c r="E647" s="10"/>
      <c r="H647" s="10"/>
      <c r="K647" s="10"/>
      <c r="N647" s="10"/>
      <c r="O647" s="20"/>
      <c r="P647" s="20"/>
      <c r="R647" s="20"/>
      <c r="S647" s="10"/>
    </row>
    <row r="648" spans="3:19" s="19" customFormat="1" x14ac:dyDescent="0.2">
      <c r="C648" s="29"/>
      <c r="E648" s="10"/>
      <c r="H648" s="10"/>
      <c r="K648" s="10"/>
      <c r="N648" s="10"/>
      <c r="O648" s="20"/>
      <c r="P648" s="20"/>
      <c r="R648" s="20"/>
      <c r="S648" s="10"/>
    </row>
    <row r="649" spans="3:19" s="19" customFormat="1" x14ac:dyDescent="0.2">
      <c r="C649" s="29"/>
      <c r="E649" s="10"/>
      <c r="H649" s="10"/>
      <c r="K649" s="10"/>
      <c r="N649" s="10"/>
      <c r="O649" s="20"/>
      <c r="P649" s="20"/>
      <c r="R649" s="20"/>
      <c r="S649" s="10"/>
    </row>
    <row r="650" spans="3:19" s="19" customFormat="1" x14ac:dyDescent="0.2">
      <c r="C650" s="29"/>
      <c r="E650" s="10"/>
      <c r="H650" s="10"/>
      <c r="K650" s="10"/>
      <c r="N650" s="10"/>
      <c r="O650" s="20"/>
      <c r="P650" s="20"/>
      <c r="R650" s="20"/>
      <c r="S650" s="10"/>
    </row>
    <row r="651" spans="3:19" s="19" customFormat="1" x14ac:dyDescent="0.2">
      <c r="C651" s="29"/>
      <c r="E651" s="10"/>
      <c r="H651" s="10"/>
      <c r="K651" s="10"/>
      <c r="N651" s="10"/>
      <c r="O651" s="20"/>
      <c r="P651" s="20"/>
      <c r="R651" s="20"/>
      <c r="S651" s="10"/>
    </row>
    <row r="652" spans="3:19" s="19" customFormat="1" x14ac:dyDescent="0.2">
      <c r="C652" s="29"/>
      <c r="E652" s="10"/>
      <c r="H652" s="10"/>
      <c r="K652" s="10"/>
      <c r="N652" s="10"/>
      <c r="O652" s="20"/>
      <c r="P652" s="20"/>
      <c r="R652" s="20"/>
      <c r="S652" s="10"/>
    </row>
    <row r="653" spans="3:19" s="19" customFormat="1" x14ac:dyDescent="0.2">
      <c r="C653" s="29"/>
      <c r="E653" s="10"/>
      <c r="H653" s="10"/>
      <c r="K653" s="10"/>
      <c r="N653" s="10"/>
      <c r="O653" s="20"/>
      <c r="P653" s="20"/>
      <c r="R653" s="20"/>
      <c r="S653" s="10"/>
    </row>
    <row r="654" spans="3:19" s="19" customFormat="1" x14ac:dyDescent="0.2">
      <c r="C654" s="29"/>
      <c r="E654" s="10"/>
      <c r="H654" s="10"/>
      <c r="K654" s="10"/>
      <c r="N654" s="10"/>
      <c r="O654" s="20"/>
      <c r="P654" s="20"/>
      <c r="R654" s="20"/>
      <c r="S654" s="10"/>
    </row>
    <row r="655" spans="3:19" s="19" customFormat="1" x14ac:dyDescent="0.2">
      <c r="C655" s="29"/>
      <c r="E655" s="10"/>
      <c r="H655" s="10"/>
      <c r="K655" s="10"/>
      <c r="N655" s="10"/>
      <c r="O655" s="20"/>
      <c r="P655" s="20"/>
      <c r="R655" s="20"/>
      <c r="S655" s="10"/>
    </row>
    <row r="656" spans="3:19" s="19" customFormat="1" x14ac:dyDescent="0.2">
      <c r="C656" s="29"/>
      <c r="E656" s="10"/>
      <c r="H656" s="10"/>
      <c r="K656" s="10"/>
      <c r="N656" s="10"/>
      <c r="O656" s="20"/>
      <c r="P656" s="20"/>
      <c r="R656" s="20"/>
      <c r="S656" s="10"/>
    </row>
    <row r="657" spans="3:19" s="19" customFormat="1" x14ac:dyDescent="0.2">
      <c r="C657" s="29"/>
      <c r="E657" s="10"/>
      <c r="H657" s="10"/>
      <c r="K657" s="10"/>
      <c r="N657" s="10"/>
      <c r="O657" s="20"/>
      <c r="P657" s="20"/>
      <c r="R657" s="20"/>
      <c r="S657" s="10"/>
    </row>
    <row r="658" spans="3:19" s="19" customFormat="1" x14ac:dyDescent="0.2">
      <c r="C658" s="29"/>
      <c r="E658" s="10"/>
      <c r="H658" s="10"/>
      <c r="K658" s="10"/>
      <c r="N658" s="10"/>
      <c r="O658" s="20"/>
      <c r="P658" s="20"/>
      <c r="R658" s="20"/>
      <c r="S658" s="10"/>
    </row>
    <row r="659" spans="3:19" s="19" customFormat="1" x14ac:dyDescent="0.2">
      <c r="C659" s="29"/>
      <c r="E659" s="10"/>
      <c r="H659" s="10"/>
      <c r="K659" s="10"/>
      <c r="N659" s="10"/>
      <c r="O659" s="20"/>
      <c r="P659" s="20"/>
      <c r="R659" s="20"/>
      <c r="S659" s="10"/>
    </row>
    <row r="660" spans="3:19" s="19" customFormat="1" x14ac:dyDescent="0.2">
      <c r="C660" s="29"/>
      <c r="E660" s="10"/>
      <c r="H660" s="10"/>
      <c r="K660" s="10"/>
      <c r="N660" s="10"/>
      <c r="O660" s="20"/>
      <c r="P660" s="20"/>
      <c r="R660" s="20"/>
      <c r="S660" s="10"/>
    </row>
    <row r="661" spans="3:19" s="19" customFormat="1" x14ac:dyDescent="0.2">
      <c r="C661" s="29"/>
      <c r="E661" s="10"/>
      <c r="H661" s="10"/>
      <c r="K661" s="10"/>
      <c r="N661" s="10"/>
      <c r="O661" s="20"/>
      <c r="P661" s="20"/>
      <c r="R661" s="20"/>
      <c r="S661" s="10"/>
    </row>
    <row r="662" spans="3:19" s="19" customFormat="1" x14ac:dyDescent="0.2">
      <c r="C662" s="29"/>
      <c r="E662" s="10"/>
      <c r="H662" s="10"/>
      <c r="K662" s="10"/>
      <c r="N662" s="10"/>
      <c r="O662" s="20"/>
      <c r="P662" s="20"/>
      <c r="R662" s="20"/>
      <c r="S662" s="10"/>
    </row>
    <row r="663" spans="3:19" s="19" customFormat="1" x14ac:dyDescent="0.2">
      <c r="C663" s="29"/>
      <c r="E663" s="10"/>
      <c r="H663" s="10"/>
      <c r="K663" s="10"/>
      <c r="N663" s="10"/>
      <c r="O663" s="20"/>
      <c r="P663" s="20"/>
      <c r="R663" s="20"/>
      <c r="S663" s="10"/>
    </row>
    <row r="664" spans="3:19" s="19" customFormat="1" x14ac:dyDescent="0.2">
      <c r="C664" s="29"/>
      <c r="E664" s="10"/>
      <c r="H664" s="10"/>
      <c r="K664" s="10"/>
      <c r="N664" s="10"/>
      <c r="O664" s="20"/>
      <c r="P664" s="20"/>
      <c r="R664" s="20"/>
      <c r="S664" s="10"/>
    </row>
    <row r="665" spans="3:19" s="19" customFormat="1" x14ac:dyDescent="0.2">
      <c r="C665" s="29"/>
      <c r="E665" s="10"/>
      <c r="H665" s="10"/>
      <c r="K665" s="10"/>
      <c r="N665" s="10"/>
      <c r="O665" s="20"/>
      <c r="P665" s="20"/>
      <c r="R665" s="20"/>
      <c r="S665" s="10"/>
    </row>
    <row r="666" spans="3:19" s="19" customFormat="1" x14ac:dyDescent="0.2">
      <c r="C666" s="29"/>
      <c r="E666" s="10"/>
      <c r="H666" s="10"/>
      <c r="K666" s="10"/>
      <c r="N666" s="10"/>
      <c r="O666" s="20"/>
      <c r="P666" s="20"/>
      <c r="R666" s="20"/>
      <c r="S666" s="10"/>
    </row>
    <row r="667" spans="3:19" s="19" customFormat="1" x14ac:dyDescent="0.2">
      <c r="C667" s="29"/>
      <c r="E667" s="10"/>
      <c r="H667" s="10"/>
      <c r="K667" s="10"/>
      <c r="N667" s="10"/>
      <c r="O667" s="20"/>
      <c r="P667" s="20"/>
      <c r="R667" s="20"/>
      <c r="S667" s="10"/>
    </row>
    <row r="668" spans="3:19" s="19" customFormat="1" x14ac:dyDescent="0.2">
      <c r="C668" s="29"/>
      <c r="E668" s="10"/>
      <c r="H668" s="10"/>
      <c r="K668" s="10"/>
      <c r="N668" s="10"/>
      <c r="O668" s="20"/>
      <c r="P668" s="20"/>
      <c r="R668" s="20"/>
      <c r="S668" s="10"/>
    </row>
    <row r="669" spans="3:19" s="19" customFormat="1" x14ac:dyDescent="0.2">
      <c r="C669" s="29"/>
      <c r="E669" s="10"/>
      <c r="H669" s="10"/>
      <c r="K669" s="10"/>
      <c r="N669" s="10"/>
      <c r="O669" s="20"/>
      <c r="P669" s="20"/>
      <c r="R669" s="20"/>
      <c r="S669" s="10"/>
    </row>
    <row r="670" spans="3:19" s="19" customFormat="1" x14ac:dyDescent="0.2">
      <c r="C670" s="29"/>
      <c r="E670" s="10"/>
      <c r="H670" s="10"/>
      <c r="K670" s="10"/>
      <c r="N670" s="10"/>
      <c r="O670" s="20"/>
      <c r="P670" s="20"/>
      <c r="R670" s="20"/>
      <c r="S670" s="10"/>
    </row>
    <row r="671" spans="3:19" s="19" customFormat="1" x14ac:dyDescent="0.2">
      <c r="C671" s="29"/>
      <c r="E671" s="10"/>
      <c r="H671" s="10"/>
      <c r="K671" s="10"/>
      <c r="N671" s="10"/>
      <c r="O671" s="20"/>
      <c r="P671" s="20"/>
      <c r="R671" s="20"/>
      <c r="S671" s="10"/>
    </row>
    <row r="672" spans="3:19" s="19" customFormat="1" x14ac:dyDescent="0.2">
      <c r="C672" s="29"/>
      <c r="E672" s="10"/>
      <c r="H672" s="10"/>
      <c r="K672" s="10"/>
      <c r="N672" s="10"/>
      <c r="O672" s="20"/>
      <c r="P672" s="20"/>
      <c r="R672" s="20"/>
      <c r="S672" s="10"/>
    </row>
    <row r="673" spans="3:19" s="19" customFormat="1" x14ac:dyDescent="0.2">
      <c r="C673" s="29"/>
      <c r="E673" s="10"/>
      <c r="H673" s="10"/>
      <c r="K673" s="10"/>
      <c r="N673" s="10"/>
      <c r="O673" s="20"/>
      <c r="P673" s="20"/>
      <c r="R673" s="20"/>
      <c r="S673" s="10"/>
    </row>
    <row r="674" spans="3:19" s="19" customFormat="1" x14ac:dyDescent="0.2">
      <c r="C674" s="29"/>
      <c r="E674" s="10"/>
      <c r="H674" s="10"/>
      <c r="K674" s="10"/>
      <c r="N674" s="10"/>
      <c r="O674" s="20"/>
      <c r="P674" s="20"/>
      <c r="R674" s="20"/>
      <c r="S674" s="10"/>
    </row>
    <row r="675" spans="3:19" s="19" customFormat="1" x14ac:dyDescent="0.2">
      <c r="C675" s="29"/>
      <c r="E675" s="10"/>
      <c r="H675" s="10"/>
      <c r="K675" s="10"/>
      <c r="N675" s="10"/>
      <c r="O675" s="20"/>
      <c r="P675" s="20"/>
      <c r="R675" s="20"/>
      <c r="S675" s="10"/>
    </row>
    <row r="676" spans="3:19" s="19" customFormat="1" x14ac:dyDescent="0.2">
      <c r="C676" s="29"/>
      <c r="E676" s="10"/>
      <c r="H676" s="10"/>
      <c r="K676" s="10"/>
      <c r="N676" s="10"/>
      <c r="O676" s="20"/>
      <c r="P676" s="20"/>
      <c r="R676" s="20"/>
      <c r="S676" s="10"/>
    </row>
    <row r="677" spans="3:19" s="19" customFormat="1" x14ac:dyDescent="0.2">
      <c r="C677" s="29"/>
      <c r="E677" s="10"/>
      <c r="H677" s="10"/>
      <c r="K677" s="10"/>
      <c r="N677" s="10"/>
      <c r="O677" s="20"/>
      <c r="P677" s="20"/>
      <c r="R677" s="20"/>
      <c r="S677" s="10"/>
    </row>
    <row r="678" spans="3:19" s="19" customFormat="1" x14ac:dyDescent="0.2">
      <c r="C678" s="29"/>
      <c r="E678" s="10"/>
      <c r="H678" s="10"/>
      <c r="K678" s="10"/>
      <c r="N678" s="10"/>
      <c r="O678" s="20"/>
      <c r="P678" s="20"/>
      <c r="R678" s="20"/>
      <c r="S678" s="10"/>
    </row>
    <row r="679" spans="3:19" s="19" customFormat="1" x14ac:dyDescent="0.2">
      <c r="C679" s="29"/>
      <c r="E679" s="10"/>
      <c r="H679" s="10"/>
      <c r="K679" s="10"/>
      <c r="N679" s="10"/>
      <c r="O679" s="20"/>
      <c r="P679" s="20"/>
      <c r="R679" s="20"/>
      <c r="S679" s="10"/>
    </row>
    <row r="680" spans="3:19" s="19" customFormat="1" x14ac:dyDescent="0.2">
      <c r="C680" s="29"/>
      <c r="E680" s="10"/>
      <c r="H680" s="10"/>
      <c r="K680" s="10"/>
      <c r="N680" s="10"/>
      <c r="O680" s="20"/>
      <c r="P680" s="20"/>
      <c r="R680" s="20"/>
      <c r="S680" s="10"/>
    </row>
    <row r="681" spans="3:19" s="19" customFormat="1" x14ac:dyDescent="0.2">
      <c r="C681" s="29"/>
      <c r="E681" s="10"/>
      <c r="H681" s="10"/>
      <c r="K681" s="10"/>
      <c r="N681" s="10"/>
      <c r="O681" s="20"/>
      <c r="P681" s="20"/>
      <c r="R681" s="20"/>
      <c r="S681" s="10"/>
    </row>
    <row r="682" spans="3:19" s="19" customFormat="1" x14ac:dyDescent="0.2">
      <c r="C682" s="29"/>
      <c r="E682" s="10"/>
      <c r="H682" s="10"/>
      <c r="K682" s="10"/>
      <c r="N682" s="10"/>
      <c r="O682" s="20"/>
      <c r="P682" s="20"/>
      <c r="R682" s="20"/>
      <c r="S682" s="10"/>
    </row>
    <row r="683" spans="3:19" s="19" customFormat="1" x14ac:dyDescent="0.2">
      <c r="C683" s="29"/>
      <c r="E683" s="10"/>
      <c r="H683" s="10"/>
      <c r="K683" s="10"/>
      <c r="N683" s="10"/>
      <c r="O683" s="20"/>
      <c r="P683" s="20"/>
      <c r="R683" s="20"/>
      <c r="S683" s="10"/>
    </row>
    <row r="684" spans="3:19" s="19" customFormat="1" x14ac:dyDescent="0.2">
      <c r="C684" s="29"/>
      <c r="E684" s="10"/>
      <c r="H684" s="10"/>
      <c r="K684" s="10"/>
      <c r="N684" s="10"/>
      <c r="O684" s="20"/>
      <c r="P684" s="20"/>
      <c r="R684" s="20"/>
      <c r="S684" s="10"/>
    </row>
    <row r="685" spans="3:19" s="19" customFormat="1" x14ac:dyDescent="0.2">
      <c r="C685" s="29"/>
      <c r="E685" s="10"/>
      <c r="H685" s="10"/>
      <c r="K685" s="10"/>
      <c r="N685" s="10"/>
      <c r="O685" s="20"/>
      <c r="P685" s="20"/>
      <c r="R685" s="20"/>
      <c r="S685" s="10"/>
    </row>
    <row r="686" spans="3:19" s="19" customFormat="1" x14ac:dyDescent="0.2">
      <c r="C686" s="29"/>
      <c r="E686" s="10"/>
      <c r="H686" s="10"/>
      <c r="K686" s="10"/>
      <c r="N686" s="10"/>
      <c r="O686" s="20"/>
      <c r="P686" s="20"/>
      <c r="R686" s="20"/>
      <c r="S686" s="10"/>
    </row>
    <row r="687" spans="3:19" s="19" customFormat="1" x14ac:dyDescent="0.2">
      <c r="C687" s="29"/>
      <c r="E687" s="10"/>
      <c r="H687" s="10"/>
      <c r="K687" s="10"/>
      <c r="N687" s="10"/>
      <c r="O687" s="20"/>
      <c r="P687" s="20"/>
      <c r="R687" s="20"/>
      <c r="S687" s="10"/>
    </row>
    <row r="688" spans="3:19" s="19" customFormat="1" x14ac:dyDescent="0.2">
      <c r="C688" s="29"/>
      <c r="E688" s="10"/>
      <c r="H688" s="10"/>
      <c r="K688" s="10"/>
      <c r="N688" s="10"/>
      <c r="O688" s="20"/>
      <c r="P688" s="20"/>
      <c r="R688" s="20"/>
      <c r="S688" s="10"/>
    </row>
    <row r="689" spans="3:19" s="19" customFormat="1" x14ac:dyDescent="0.2">
      <c r="C689" s="29"/>
      <c r="E689" s="10"/>
      <c r="H689" s="10"/>
      <c r="K689" s="10"/>
      <c r="N689" s="10"/>
      <c r="O689" s="20"/>
      <c r="P689" s="20"/>
      <c r="R689" s="20"/>
      <c r="S689" s="10"/>
    </row>
    <row r="690" spans="3:19" s="19" customFormat="1" x14ac:dyDescent="0.2">
      <c r="C690" s="29"/>
      <c r="E690" s="10"/>
      <c r="H690" s="10"/>
      <c r="K690" s="10"/>
      <c r="N690" s="10"/>
      <c r="O690" s="20"/>
      <c r="P690" s="20"/>
      <c r="R690" s="20"/>
      <c r="S690" s="10"/>
    </row>
    <row r="691" spans="3:19" s="19" customFormat="1" x14ac:dyDescent="0.2">
      <c r="C691" s="29"/>
      <c r="E691" s="10"/>
      <c r="H691" s="10"/>
      <c r="K691" s="10"/>
      <c r="N691" s="10"/>
      <c r="O691" s="20"/>
      <c r="P691" s="20"/>
      <c r="R691" s="20"/>
      <c r="S691" s="10"/>
    </row>
    <row r="692" spans="3:19" s="19" customFormat="1" x14ac:dyDescent="0.2">
      <c r="C692" s="29"/>
      <c r="E692" s="10"/>
      <c r="H692" s="10"/>
      <c r="K692" s="10"/>
      <c r="N692" s="10"/>
      <c r="O692" s="20"/>
      <c r="P692" s="20"/>
      <c r="R692" s="20"/>
      <c r="S692" s="10"/>
    </row>
    <row r="693" spans="3:19" s="19" customFormat="1" x14ac:dyDescent="0.2">
      <c r="C693" s="29"/>
      <c r="E693" s="10"/>
      <c r="H693" s="10"/>
      <c r="K693" s="10"/>
      <c r="N693" s="10"/>
      <c r="O693" s="20"/>
      <c r="P693" s="20"/>
      <c r="R693" s="20"/>
      <c r="S693" s="10"/>
    </row>
    <row r="694" spans="3:19" s="19" customFormat="1" x14ac:dyDescent="0.2">
      <c r="C694" s="29"/>
      <c r="E694" s="10"/>
      <c r="H694" s="10"/>
      <c r="K694" s="10"/>
      <c r="N694" s="10"/>
      <c r="O694" s="20"/>
      <c r="P694" s="20"/>
      <c r="R694" s="20"/>
      <c r="S694" s="10"/>
    </row>
    <row r="695" spans="3:19" s="19" customFormat="1" x14ac:dyDescent="0.2">
      <c r="C695" s="29"/>
      <c r="E695" s="10"/>
      <c r="H695" s="10"/>
      <c r="K695" s="10"/>
      <c r="N695" s="10"/>
      <c r="O695" s="20"/>
      <c r="P695" s="20"/>
      <c r="R695" s="20"/>
      <c r="S695" s="10"/>
    </row>
    <row r="696" spans="3:19" s="19" customFormat="1" x14ac:dyDescent="0.2">
      <c r="C696" s="29"/>
      <c r="E696" s="10"/>
      <c r="H696" s="10"/>
      <c r="K696" s="10"/>
      <c r="N696" s="10"/>
      <c r="O696" s="20"/>
      <c r="P696" s="20"/>
      <c r="R696" s="20"/>
      <c r="S696" s="10"/>
    </row>
    <row r="697" spans="3:19" s="19" customFormat="1" x14ac:dyDescent="0.2">
      <c r="C697" s="29"/>
      <c r="E697" s="10"/>
      <c r="H697" s="10"/>
      <c r="K697" s="10"/>
      <c r="N697" s="10"/>
      <c r="O697" s="20"/>
      <c r="P697" s="20"/>
      <c r="R697" s="20"/>
      <c r="S697" s="10"/>
    </row>
    <row r="698" spans="3:19" s="19" customFormat="1" x14ac:dyDescent="0.2">
      <c r="C698" s="29"/>
      <c r="E698" s="10"/>
      <c r="H698" s="10"/>
      <c r="K698" s="10"/>
      <c r="N698" s="10"/>
      <c r="O698" s="20"/>
      <c r="P698" s="20"/>
      <c r="R698" s="20"/>
      <c r="S698" s="10"/>
    </row>
    <row r="699" spans="3:19" s="19" customFormat="1" x14ac:dyDescent="0.2">
      <c r="C699" s="29"/>
      <c r="E699" s="10"/>
      <c r="H699" s="10"/>
      <c r="K699" s="10"/>
      <c r="N699" s="10"/>
      <c r="O699" s="20"/>
      <c r="P699" s="20"/>
      <c r="R699" s="20"/>
      <c r="S699" s="10"/>
    </row>
    <row r="700" spans="3:19" s="19" customFormat="1" x14ac:dyDescent="0.2">
      <c r="C700" s="29"/>
      <c r="E700" s="10"/>
      <c r="H700" s="10"/>
      <c r="K700" s="10"/>
      <c r="N700" s="10"/>
      <c r="O700" s="20"/>
      <c r="P700" s="20"/>
      <c r="R700" s="20"/>
      <c r="S700" s="10"/>
    </row>
    <row r="701" spans="3:19" s="19" customFormat="1" x14ac:dyDescent="0.2">
      <c r="C701" s="29"/>
      <c r="E701" s="10"/>
      <c r="H701" s="10"/>
      <c r="K701" s="10"/>
      <c r="N701" s="10"/>
      <c r="O701" s="20"/>
      <c r="P701" s="20"/>
      <c r="R701" s="20"/>
      <c r="S701" s="10"/>
    </row>
    <row r="702" spans="3:19" s="19" customFormat="1" x14ac:dyDescent="0.2">
      <c r="C702" s="29"/>
      <c r="E702" s="10"/>
      <c r="H702" s="10"/>
      <c r="K702" s="10"/>
      <c r="N702" s="10"/>
      <c r="O702" s="20"/>
      <c r="P702" s="20"/>
      <c r="R702" s="20"/>
      <c r="S702" s="10"/>
    </row>
    <row r="703" spans="3:19" s="19" customFormat="1" x14ac:dyDescent="0.2">
      <c r="C703" s="29"/>
      <c r="E703" s="10"/>
      <c r="H703" s="10"/>
      <c r="K703" s="10"/>
      <c r="N703" s="10"/>
      <c r="O703" s="20"/>
      <c r="P703" s="20"/>
      <c r="R703" s="20"/>
      <c r="S703" s="10"/>
    </row>
    <row r="704" spans="3:19" s="19" customFormat="1" x14ac:dyDescent="0.2">
      <c r="C704" s="29"/>
      <c r="E704" s="10"/>
      <c r="H704" s="10"/>
      <c r="K704" s="10"/>
      <c r="N704" s="10"/>
      <c r="O704" s="20"/>
      <c r="P704" s="20"/>
      <c r="R704" s="20"/>
      <c r="S704" s="10"/>
    </row>
    <row r="705" spans="3:19" s="19" customFormat="1" x14ac:dyDescent="0.2">
      <c r="C705" s="29"/>
      <c r="E705" s="10"/>
      <c r="H705" s="10"/>
      <c r="K705" s="10"/>
      <c r="N705" s="10"/>
      <c r="O705" s="20"/>
      <c r="P705" s="20"/>
      <c r="R705" s="20"/>
      <c r="S705" s="10"/>
    </row>
    <row r="706" spans="3:19" s="19" customFormat="1" x14ac:dyDescent="0.2">
      <c r="C706" s="29"/>
      <c r="E706" s="10"/>
      <c r="H706" s="10"/>
      <c r="K706" s="10"/>
      <c r="N706" s="10"/>
      <c r="O706" s="20"/>
      <c r="P706" s="20"/>
      <c r="R706" s="20"/>
      <c r="S706" s="10"/>
    </row>
    <row r="707" spans="3:19" s="19" customFormat="1" x14ac:dyDescent="0.2">
      <c r="C707" s="29"/>
      <c r="E707" s="10"/>
      <c r="H707" s="10"/>
      <c r="K707" s="10"/>
      <c r="N707" s="10"/>
      <c r="O707" s="20"/>
      <c r="P707" s="20"/>
      <c r="R707" s="20"/>
      <c r="S707" s="10"/>
    </row>
    <row r="708" spans="3:19" s="19" customFormat="1" x14ac:dyDescent="0.2">
      <c r="C708" s="29"/>
      <c r="E708" s="10"/>
      <c r="H708" s="10"/>
      <c r="K708" s="10"/>
      <c r="N708" s="10"/>
      <c r="O708" s="20"/>
      <c r="P708" s="20"/>
      <c r="R708" s="20"/>
      <c r="S708" s="10"/>
    </row>
    <row r="709" spans="3:19" s="19" customFormat="1" x14ac:dyDescent="0.2">
      <c r="C709" s="29"/>
      <c r="E709" s="10"/>
      <c r="H709" s="10"/>
      <c r="K709" s="10"/>
      <c r="N709" s="10"/>
      <c r="O709" s="20"/>
      <c r="P709" s="20"/>
      <c r="R709" s="20"/>
      <c r="S709" s="10"/>
    </row>
    <row r="710" spans="3:19" s="19" customFormat="1" x14ac:dyDescent="0.2">
      <c r="C710" s="29"/>
      <c r="E710" s="10"/>
      <c r="H710" s="10"/>
      <c r="K710" s="10"/>
      <c r="N710" s="10"/>
      <c r="O710" s="20"/>
      <c r="P710" s="20"/>
      <c r="R710" s="20"/>
      <c r="S710" s="10"/>
    </row>
    <row r="711" spans="3:19" s="19" customFormat="1" x14ac:dyDescent="0.2">
      <c r="C711" s="29"/>
      <c r="E711" s="10"/>
      <c r="H711" s="10"/>
      <c r="K711" s="10"/>
      <c r="N711" s="10"/>
      <c r="O711" s="20"/>
      <c r="P711" s="20"/>
      <c r="R711" s="20"/>
      <c r="S711" s="10"/>
    </row>
    <row r="712" spans="3:19" s="19" customFormat="1" x14ac:dyDescent="0.2">
      <c r="C712" s="29"/>
      <c r="E712" s="10"/>
      <c r="H712" s="10"/>
      <c r="K712" s="10"/>
      <c r="N712" s="10"/>
      <c r="O712" s="20"/>
      <c r="P712" s="20"/>
      <c r="R712" s="20"/>
      <c r="S712" s="10"/>
    </row>
    <row r="713" spans="3:19" s="19" customFormat="1" x14ac:dyDescent="0.2">
      <c r="C713" s="29"/>
      <c r="E713" s="10"/>
      <c r="H713" s="10"/>
      <c r="K713" s="10"/>
      <c r="N713" s="10"/>
      <c r="O713" s="20"/>
      <c r="P713" s="20"/>
      <c r="R713" s="20"/>
      <c r="S713" s="10"/>
    </row>
    <row r="714" spans="3:19" s="19" customFormat="1" x14ac:dyDescent="0.2">
      <c r="C714" s="29"/>
      <c r="E714" s="10"/>
      <c r="H714" s="10"/>
      <c r="K714" s="10"/>
      <c r="N714" s="10"/>
      <c r="O714" s="20"/>
      <c r="P714" s="20"/>
      <c r="R714" s="20"/>
      <c r="S714" s="10"/>
    </row>
    <row r="715" spans="3:19" s="19" customFormat="1" x14ac:dyDescent="0.2">
      <c r="C715" s="29"/>
      <c r="E715" s="10"/>
      <c r="H715" s="10"/>
      <c r="K715" s="10"/>
      <c r="N715" s="10"/>
      <c r="O715" s="20"/>
      <c r="P715" s="20"/>
      <c r="R715" s="20"/>
      <c r="S715" s="10"/>
    </row>
    <row r="716" spans="3:19" s="19" customFormat="1" x14ac:dyDescent="0.2">
      <c r="C716" s="29"/>
      <c r="E716" s="10"/>
      <c r="H716" s="10"/>
      <c r="K716" s="10"/>
      <c r="N716" s="10"/>
      <c r="O716" s="20"/>
      <c r="P716" s="20"/>
      <c r="R716" s="20"/>
      <c r="S716" s="10"/>
    </row>
    <row r="717" spans="3:19" s="19" customFormat="1" x14ac:dyDescent="0.2">
      <c r="C717" s="29"/>
      <c r="E717" s="10"/>
      <c r="H717" s="10"/>
      <c r="K717" s="10"/>
      <c r="N717" s="10"/>
      <c r="O717" s="20"/>
      <c r="P717" s="20"/>
      <c r="R717" s="20"/>
      <c r="S717" s="10"/>
    </row>
    <row r="718" spans="3:19" s="19" customFormat="1" x14ac:dyDescent="0.2">
      <c r="C718" s="29"/>
      <c r="E718" s="10"/>
      <c r="H718" s="10"/>
      <c r="K718" s="10"/>
      <c r="N718" s="10"/>
      <c r="O718" s="20"/>
      <c r="P718" s="20"/>
      <c r="R718" s="20"/>
      <c r="S718" s="10"/>
    </row>
    <row r="719" spans="3:19" s="19" customFormat="1" x14ac:dyDescent="0.2">
      <c r="C719" s="29"/>
      <c r="E719" s="10"/>
      <c r="H719" s="10"/>
      <c r="K719" s="10"/>
      <c r="N719" s="10"/>
      <c r="O719" s="20"/>
      <c r="P719" s="20"/>
      <c r="R719" s="20"/>
      <c r="S719" s="10"/>
    </row>
    <row r="720" spans="3:19" s="19" customFormat="1" x14ac:dyDescent="0.2">
      <c r="C720" s="29"/>
      <c r="E720" s="10"/>
      <c r="H720" s="10"/>
      <c r="K720" s="10"/>
      <c r="N720" s="10"/>
      <c r="O720" s="20"/>
      <c r="P720" s="20"/>
      <c r="R720" s="20"/>
      <c r="S720" s="10"/>
    </row>
    <row r="721" spans="3:19" s="19" customFormat="1" x14ac:dyDescent="0.2">
      <c r="C721" s="29"/>
      <c r="E721" s="10"/>
      <c r="H721" s="10"/>
      <c r="K721" s="10"/>
      <c r="N721" s="10"/>
      <c r="O721" s="20"/>
      <c r="P721" s="20"/>
      <c r="R721" s="20"/>
      <c r="S721" s="10"/>
    </row>
    <row r="722" spans="3:19" s="19" customFormat="1" x14ac:dyDescent="0.2">
      <c r="C722" s="29"/>
      <c r="E722" s="10"/>
      <c r="H722" s="10"/>
      <c r="K722" s="10"/>
      <c r="N722" s="10"/>
      <c r="O722" s="20"/>
      <c r="P722" s="20"/>
      <c r="R722" s="20"/>
      <c r="S722" s="10"/>
    </row>
    <row r="723" spans="3:19" s="19" customFormat="1" x14ac:dyDescent="0.2">
      <c r="C723" s="29"/>
      <c r="E723" s="10"/>
      <c r="H723" s="10"/>
      <c r="K723" s="10"/>
      <c r="N723" s="10"/>
      <c r="O723" s="20"/>
      <c r="P723" s="20"/>
      <c r="R723" s="20"/>
      <c r="S723" s="10"/>
    </row>
    <row r="724" spans="3:19" s="19" customFormat="1" x14ac:dyDescent="0.2">
      <c r="C724" s="29"/>
      <c r="E724" s="10"/>
      <c r="H724" s="10"/>
      <c r="K724" s="10"/>
      <c r="N724" s="10"/>
      <c r="O724" s="20"/>
      <c r="P724" s="20"/>
      <c r="R724" s="20"/>
      <c r="S724" s="10"/>
    </row>
    <row r="725" spans="3:19" s="19" customFormat="1" x14ac:dyDescent="0.2">
      <c r="C725" s="29"/>
      <c r="E725" s="10"/>
      <c r="H725" s="10"/>
      <c r="K725" s="10"/>
      <c r="N725" s="10"/>
      <c r="O725" s="20"/>
      <c r="P725" s="20"/>
      <c r="R725" s="20"/>
      <c r="S725" s="10"/>
    </row>
    <row r="726" spans="3:19" s="19" customFormat="1" x14ac:dyDescent="0.2">
      <c r="C726" s="29"/>
      <c r="E726" s="10"/>
      <c r="H726" s="10"/>
      <c r="K726" s="10"/>
      <c r="N726" s="10"/>
      <c r="O726" s="20"/>
      <c r="P726" s="20"/>
      <c r="R726" s="20"/>
      <c r="S726" s="10"/>
    </row>
    <row r="727" spans="3:19" s="19" customFormat="1" x14ac:dyDescent="0.2">
      <c r="C727" s="29"/>
      <c r="E727" s="10"/>
      <c r="H727" s="10"/>
      <c r="K727" s="10"/>
      <c r="N727" s="10"/>
      <c r="O727" s="20"/>
      <c r="P727" s="20"/>
      <c r="R727" s="20"/>
      <c r="S727" s="10"/>
    </row>
    <row r="728" spans="3:19" s="19" customFormat="1" x14ac:dyDescent="0.2">
      <c r="C728" s="29"/>
      <c r="E728" s="10"/>
      <c r="H728" s="10"/>
      <c r="K728" s="10"/>
      <c r="N728" s="10"/>
      <c r="O728" s="20"/>
      <c r="P728" s="20"/>
      <c r="R728" s="20"/>
      <c r="S728" s="10"/>
    </row>
    <row r="729" spans="3:19" s="19" customFormat="1" x14ac:dyDescent="0.2">
      <c r="C729" s="29"/>
      <c r="E729" s="10"/>
      <c r="H729" s="10"/>
      <c r="K729" s="10"/>
      <c r="N729" s="10"/>
      <c r="O729" s="20"/>
      <c r="P729" s="20"/>
      <c r="R729" s="20"/>
      <c r="S729" s="10"/>
    </row>
    <row r="730" spans="3:19" s="19" customFormat="1" x14ac:dyDescent="0.2">
      <c r="C730" s="29"/>
      <c r="E730" s="10"/>
      <c r="H730" s="10"/>
      <c r="K730" s="10"/>
      <c r="N730" s="10"/>
      <c r="O730" s="20"/>
      <c r="P730" s="20"/>
      <c r="R730" s="20"/>
      <c r="S730" s="10"/>
    </row>
    <row r="731" spans="3:19" s="19" customFormat="1" x14ac:dyDescent="0.2">
      <c r="C731" s="29"/>
      <c r="E731" s="10"/>
      <c r="H731" s="10"/>
      <c r="K731" s="10"/>
      <c r="N731" s="10"/>
      <c r="O731" s="20"/>
      <c r="P731" s="20"/>
      <c r="R731" s="20"/>
      <c r="S731" s="10"/>
    </row>
    <row r="732" spans="3:19" s="19" customFormat="1" x14ac:dyDescent="0.2">
      <c r="C732" s="29"/>
      <c r="E732" s="10"/>
      <c r="H732" s="10"/>
      <c r="K732" s="10"/>
      <c r="N732" s="10"/>
      <c r="O732" s="20"/>
      <c r="P732" s="20"/>
      <c r="R732" s="20"/>
      <c r="S732" s="10"/>
    </row>
    <row r="733" spans="3:19" s="19" customFormat="1" x14ac:dyDescent="0.2">
      <c r="C733" s="29"/>
      <c r="E733" s="10"/>
      <c r="H733" s="10"/>
      <c r="K733" s="10"/>
      <c r="N733" s="10"/>
      <c r="O733" s="20"/>
      <c r="P733" s="20"/>
      <c r="R733" s="20"/>
      <c r="S733" s="10"/>
    </row>
    <row r="734" spans="3:19" s="19" customFormat="1" x14ac:dyDescent="0.2">
      <c r="C734" s="29"/>
      <c r="E734" s="10"/>
      <c r="H734" s="10"/>
      <c r="K734" s="10"/>
      <c r="N734" s="10"/>
      <c r="O734" s="20"/>
      <c r="P734" s="20"/>
      <c r="R734" s="20"/>
      <c r="S734" s="10"/>
    </row>
    <row r="735" spans="3:19" s="19" customFormat="1" x14ac:dyDescent="0.2">
      <c r="C735" s="29"/>
      <c r="E735" s="10"/>
      <c r="H735" s="10"/>
      <c r="K735" s="10"/>
      <c r="N735" s="10"/>
      <c r="O735" s="20"/>
      <c r="P735" s="20"/>
      <c r="R735" s="20"/>
      <c r="S735" s="10"/>
    </row>
    <row r="736" spans="3:19" s="19" customFormat="1" x14ac:dyDescent="0.2">
      <c r="C736" s="29"/>
      <c r="E736" s="10"/>
      <c r="H736" s="10"/>
      <c r="K736" s="10"/>
      <c r="N736" s="10"/>
      <c r="O736" s="20"/>
      <c r="P736" s="20"/>
      <c r="R736" s="20"/>
      <c r="S736" s="10"/>
    </row>
    <row r="737" spans="3:19" s="19" customFormat="1" x14ac:dyDescent="0.2">
      <c r="C737" s="29"/>
      <c r="E737" s="10"/>
      <c r="H737" s="10"/>
      <c r="K737" s="10"/>
      <c r="N737" s="10"/>
      <c r="O737" s="20"/>
      <c r="P737" s="20"/>
      <c r="R737" s="20"/>
      <c r="S737" s="10"/>
    </row>
    <row r="738" spans="3:19" s="19" customFormat="1" x14ac:dyDescent="0.2">
      <c r="C738" s="29"/>
      <c r="E738" s="10"/>
      <c r="H738" s="10"/>
      <c r="K738" s="10"/>
      <c r="N738" s="10"/>
      <c r="O738" s="20"/>
      <c r="P738" s="20"/>
      <c r="R738" s="20"/>
      <c r="S738" s="10"/>
    </row>
    <row r="739" spans="3:19" s="19" customFormat="1" x14ac:dyDescent="0.2">
      <c r="C739" s="29"/>
      <c r="E739" s="10"/>
      <c r="H739" s="10"/>
      <c r="K739" s="10"/>
      <c r="N739" s="10"/>
      <c r="O739" s="20"/>
      <c r="P739" s="20"/>
      <c r="R739" s="20"/>
      <c r="S739" s="10"/>
    </row>
    <row r="740" spans="3:19" s="19" customFormat="1" x14ac:dyDescent="0.2">
      <c r="C740" s="29"/>
      <c r="E740" s="10"/>
      <c r="H740" s="10"/>
      <c r="K740" s="10"/>
      <c r="N740" s="10"/>
      <c r="O740" s="20"/>
      <c r="P740" s="20"/>
      <c r="R740" s="20"/>
      <c r="S740" s="10"/>
    </row>
    <row r="741" spans="3:19" s="19" customFormat="1" x14ac:dyDescent="0.2">
      <c r="C741" s="29"/>
      <c r="E741" s="10"/>
      <c r="H741" s="10"/>
      <c r="K741" s="10"/>
      <c r="N741" s="10"/>
      <c r="O741" s="20"/>
      <c r="P741" s="20"/>
      <c r="R741" s="20"/>
      <c r="S741" s="10"/>
    </row>
    <row r="742" spans="3:19" s="19" customFormat="1" x14ac:dyDescent="0.2">
      <c r="C742" s="29"/>
      <c r="E742" s="10"/>
      <c r="H742" s="10"/>
      <c r="K742" s="10"/>
      <c r="N742" s="10"/>
      <c r="O742" s="20"/>
      <c r="P742" s="20"/>
      <c r="R742" s="20"/>
      <c r="S742" s="10"/>
    </row>
    <row r="743" spans="3:19" s="19" customFormat="1" x14ac:dyDescent="0.2">
      <c r="C743" s="29"/>
      <c r="E743" s="10"/>
      <c r="H743" s="10"/>
      <c r="K743" s="10"/>
      <c r="N743" s="10"/>
      <c r="O743" s="20"/>
      <c r="P743" s="20"/>
      <c r="R743" s="20"/>
      <c r="S743" s="10"/>
    </row>
    <row r="744" spans="3:19" s="19" customFormat="1" x14ac:dyDescent="0.2">
      <c r="C744" s="29"/>
      <c r="E744" s="10"/>
      <c r="H744" s="10"/>
      <c r="K744" s="10"/>
      <c r="N744" s="10"/>
      <c r="O744" s="20"/>
      <c r="P744" s="20"/>
      <c r="R744" s="20"/>
      <c r="S744" s="10"/>
    </row>
    <row r="745" spans="3:19" s="19" customFormat="1" x14ac:dyDescent="0.2">
      <c r="C745" s="29"/>
      <c r="E745" s="10"/>
      <c r="H745" s="10"/>
      <c r="K745" s="10"/>
      <c r="N745" s="10"/>
      <c r="O745" s="20"/>
      <c r="P745" s="20"/>
      <c r="R745" s="20"/>
      <c r="S745" s="10"/>
    </row>
    <row r="746" spans="3:19" s="19" customFormat="1" x14ac:dyDescent="0.2">
      <c r="C746" s="29"/>
      <c r="E746" s="10"/>
      <c r="H746" s="10"/>
      <c r="K746" s="10"/>
      <c r="N746" s="10"/>
      <c r="O746" s="20"/>
      <c r="P746" s="20"/>
      <c r="R746" s="20"/>
      <c r="S746" s="10"/>
    </row>
    <row r="747" spans="3:19" s="19" customFormat="1" x14ac:dyDescent="0.2">
      <c r="C747" s="29"/>
      <c r="E747" s="10"/>
      <c r="H747" s="10"/>
      <c r="K747" s="10"/>
      <c r="N747" s="10"/>
      <c r="O747" s="20"/>
      <c r="P747" s="20"/>
      <c r="R747" s="20"/>
      <c r="S747" s="10"/>
    </row>
    <row r="748" spans="3:19" s="19" customFormat="1" x14ac:dyDescent="0.2">
      <c r="C748" s="29"/>
      <c r="E748" s="10"/>
      <c r="H748" s="10"/>
      <c r="K748" s="10"/>
      <c r="N748" s="10"/>
      <c r="O748" s="20"/>
      <c r="P748" s="20"/>
      <c r="R748" s="20"/>
      <c r="S748" s="10"/>
    </row>
    <row r="749" spans="3:19" s="19" customFormat="1" x14ac:dyDescent="0.2">
      <c r="C749" s="29"/>
      <c r="E749" s="10"/>
      <c r="H749" s="10"/>
      <c r="K749" s="10"/>
      <c r="N749" s="10"/>
      <c r="O749" s="20"/>
      <c r="P749" s="20"/>
      <c r="R749" s="20"/>
      <c r="S749" s="10"/>
    </row>
    <row r="750" spans="3:19" s="19" customFormat="1" x14ac:dyDescent="0.2">
      <c r="C750" s="29"/>
      <c r="E750" s="10"/>
      <c r="H750" s="10"/>
      <c r="K750" s="10"/>
      <c r="N750" s="10"/>
      <c r="O750" s="20"/>
      <c r="P750" s="20"/>
      <c r="R750" s="20"/>
      <c r="S750" s="10"/>
    </row>
    <row r="751" spans="3:19" s="19" customFormat="1" x14ac:dyDescent="0.2">
      <c r="C751" s="29"/>
      <c r="E751" s="10"/>
      <c r="H751" s="10"/>
      <c r="K751" s="10"/>
      <c r="N751" s="10"/>
      <c r="O751" s="20"/>
      <c r="P751" s="20"/>
      <c r="R751" s="20"/>
      <c r="S751" s="10"/>
    </row>
    <row r="752" spans="3:19" s="19" customFormat="1" x14ac:dyDescent="0.2">
      <c r="C752" s="29"/>
      <c r="E752" s="10"/>
      <c r="H752" s="10"/>
      <c r="K752" s="10"/>
      <c r="N752" s="10"/>
      <c r="O752" s="20"/>
      <c r="P752" s="20"/>
      <c r="R752" s="20"/>
      <c r="S752" s="10"/>
    </row>
    <row r="753" spans="3:19" s="19" customFormat="1" x14ac:dyDescent="0.2">
      <c r="C753" s="29"/>
      <c r="E753" s="10"/>
      <c r="H753" s="10"/>
      <c r="K753" s="10"/>
      <c r="N753" s="10"/>
      <c r="O753" s="20"/>
      <c r="P753" s="20"/>
      <c r="R753" s="20"/>
      <c r="S753" s="10"/>
    </row>
    <row r="754" spans="3:19" s="19" customFormat="1" x14ac:dyDescent="0.2">
      <c r="C754" s="29"/>
      <c r="E754" s="10"/>
      <c r="H754" s="10"/>
      <c r="K754" s="10"/>
      <c r="N754" s="10"/>
      <c r="O754" s="20"/>
      <c r="P754" s="20"/>
      <c r="R754" s="20"/>
      <c r="S754" s="10"/>
    </row>
    <row r="755" spans="3:19" s="19" customFormat="1" x14ac:dyDescent="0.2">
      <c r="C755" s="29"/>
      <c r="E755" s="10"/>
      <c r="H755" s="10"/>
      <c r="K755" s="10"/>
      <c r="N755" s="10"/>
      <c r="O755" s="20"/>
      <c r="P755" s="20"/>
      <c r="R755" s="20"/>
      <c r="S755" s="10"/>
    </row>
    <row r="756" spans="3:19" s="19" customFormat="1" x14ac:dyDescent="0.2">
      <c r="C756" s="29"/>
      <c r="E756" s="10"/>
      <c r="H756" s="10"/>
      <c r="K756" s="10"/>
      <c r="N756" s="10"/>
      <c r="O756" s="20"/>
      <c r="P756" s="20"/>
      <c r="R756" s="20"/>
      <c r="S756" s="10"/>
    </row>
    <row r="757" spans="3:19" s="19" customFormat="1" x14ac:dyDescent="0.2">
      <c r="C757" s="29"/>
      <c r="E757" s="10"/>
      <c r="H757" s="10"/>
      <c r="K757" s="10"/>
      <c r="N757" s="10"/>
      <c r="O757" s="20"/>
      <c r="P757" s="20"/>
      <c r="R757" s="20"/>
      <c r="S757" s="10"/>
    </row>
    <row r="758" spans="3:19" s="19" customFormat="1" x14ac:dyDescent="0.2">
      <c r="C758" s="29"/>
      <c r="E758" s="10"/>
      <c r="H758" s="10"/>
      <c r="K758" s="10"/>
      <c r="N758" s="10"/>
      <c r="O758" s="20"/>
      <c r="P758" s="20"/>
      <c r="R758" s="20"/>
      <c r="S758" s="10"/>
    </row>
    <row r="759" spans="3:19" s="19" customFormat="1" x14ac:dyDescent="0.2">
      <c r="C759" s="29"/>
      <c r="E759" s="10"/>
      <c r="H759" s="10"/>
      <c r="K759" s="10"/>
      <c r="N759" s="10"/>
      <c r="O759" s="20"/>
      <c r="P759" s="20"/>
      <c r="R759" s="20"/>
      <c r="S759" s="10"/>
    </row>
    <row r="760" spans="3:19" s="19" customFormat="1" x14ac:dyDescent="0.2">
      <c r="C760" s="29"/>
      <c r="E760" s="10"/>
      <c r="H760" s="10"/>
      <c r="K760" s="10"/>
      <c r="N760" s="10"/>
      <c r="O760" s="20"/>
      <c r="P760" s="20"/>
      <c r="R760" s="20"/>
      <c r="S760" s="10"/>
    </row>
    <row r="761" spans="3:19" s="19" customFormat="1" x14ac:dyDescent="0.2">
      <c r="C761" s="29"/>
      <c r="E761" s="10"/>
      <c r="H761" s="10"/>
      <c r="K761" s="10"/>
      <c r="N761" s="10"/>
      <c r="O761" s="20"/>
      <c r="P761" s="20"/>
      <c r="R761" s="20"/>
      <c r="S761" s="10"/>
    </row>
    <row r="762" spans="3:19" s="19" customFormat="1" x14ac:dyDescent="0.2">
      <c r="C762" s="29"/>
      <c r="E762" s="10"/>
      <c r="H762" s="10"/>
      <c r="K762" s="10"/>
      <c r="N762" s="10"/>
      <c r="O762" s="20"/>
      <c r="P762" s="20"/>
      <c r="R762" s="20"/>
      <c r="S762" s="10"/>
    </row>
    <row r="763" spans="3:19" s="19" customFormat="1" x14ac:dyDescent="0.2">
      <c r="C763" s="29"/>
      <c r="E763" s="10"/>
      <c r="H763" s="10"/>
      <c r="K763" s="10"/>
      <c r="N763" s="10"/>
      <c r="O763" s="20"/>
      <c r="P763" s="20"/>
      <c r="R763" s="20"/>
      <c r="S763" s="10"/>
    </row>
    <row r="764" spans="3:19" s="19" customFormat="1" x14ac:dyDescent="0.2">
      <c r="C764" s="29"/>
      <c r="E764" s="10"/>
      <c r="H764" s="10"/>
      <c r="K764" s="10"/>
      <c r="N764" s="10"/>
      <c r="O764" s="20"/>
      <c r="P764" s="20"/>
      <c r="R764" s="20"/>
      <c r="S764" s="10"/>
    </row>
    <row r="765" spans="3:19" s="19" customFormat="1" x14ac:dyDescent="0.2">
      <c r="C765" s="29"/>
      <c r="E765" s="10"/>
      <c r="H765" s="10"/>
      <c r="K765" s="10"/>
      <c r="N765" s="10"/>
      <c r="O765" s="20"/>
      <c r="P765" s="20"/>
      <c r="R765" s="20"/>
      <c r="S765" s="10"/>
    </row>
    <row r="766" spans="3:19" s="19" customFormat="1" x14ac:dyDescent="0.2">
      <c r="C766" s="29"/>
      <c r="E766" s="10"/>
      <c r="H766" s="10"/>
      <c r="K766" s="10"/>
      <c r="N766" s="10"/>
      <c r="O766" s="20"/>
      <c r="P766" s="20"/>
      <c r="R766" s="20"/>
      <c r="S766" s="10"/>
    </row>
    <row r="767" spans="3:19" s="19" customFormat="1" x14ac:dyDescent="0.2">
      <c r="C767" s="29"/>
      <c r="E767" s="10"/>
      <c r="H767" s="10"/>
      <c r="K767" s="10"/>
      <c r="N767" s="10"/>
      <c r="O767" s="20"/>
      <c r="P767" s="20"/>
      <c r="R767" s="20"/>
      <c r="S767" s="10"/>
    </row>
    <row r="768" spans="3:19" s="19" customFormat="1" x14ac:dyDescent="0.2">
      <c r="C768" s="29"/>
      <c r="E768" s="10"/>
      <c r="H768" s="10"/>
      <c r="K768" s="10"/>
      <c r="N768" s="10"/>
      <c r="O768" s="20"/>
      <c r="P768" s="20"/>
      <c r="R768" s="20"/>
      <c r="S768" s="10"/>
    </row>
    <row r="769" spans="3:19" s="19" customFormat="1" x14ac:dyDescent="0.2">
      <c r="C769" s="29"/>
      <c r="E769" s="10"/>
      <c r="H769" s="10"/>
      <c r="K769" s="10"/>
      <c r="N769" s="10"/>
      <c r="O769" s="20"/>
      <c r="P769" s="20"/>
      <c r="R769" s="20"/>
      <c r="S769" s="10"/>
    </row>
    <row r="770" spans="3:19" s="19" customFormat="1" x14ac:dyDescent="0.2">
      <c r="C770" s="29"/>
      <c r="E770" s="10"/>
      <c r="H770" s="10"/>
      <c r="K770" s="10"/>
      <c r="N770" s="10"/>
      <c r="O770" s="20"/>
      <c r="P770" s="20"/>
      <c r="R770" s="20"/>
      <c r="S770" s="10"/>
    </row>
    <row r="771" spans="3:19" s="19" customFormat="1" x14ac:dyDescent="0.2">
      <c r="C771" s="29"/>
      <c r="E771" s="10"/>
      <c r="H771" s="10"/>
      <c r="K771" s="10"/>
      <c r="N771" s="10"/>
      <c r="O771" s="20"/>
      <c r="P771" s="20"/>
      <c r="R771" s="20"/>
      <c r="S771" s="10"/>
    </row>
    <row r="772" spans="3:19" s="19" customFormat="1" x14ac:dyDescent="0.2">
      <c r="C772" s="29"/>
      <c r="E772" s="10"/>
      <c r="H772" s="10"/>
      <c r="K772" s="10"/>
      <c r="N772" s="10"/>
      <c r="O772" s="20"/>
      <c r="P772" s="20"/>
      <c r="R772" s="20"/>
      <c r="S772" s="10"/>
    </row>
    <row r="773" spans="3:19" s="19" customFormat="1" x14ac:dyDescent="0.2">
      <c r="C773" s="29"/>
      <c r="E773" s="10"/>
      <c r="H773" s="10"/>
      <c r="K773" s="10"/>
      <c r="N773" s="10"/>
      <c r="O773" s="20"/>
      <c r="P773" s="20"/>
      <c r="R773" s="20"/>
      <c r="S773" s="10"/>
    </row>
    <row r="774" spans="3:19" s="19" customFormat="1" x14ac:dyDescent="0.2">
      <c r="C774" s="29"/>
      <c r="E774" s="10"/>
      <c r="H774" s="10"/>
      <c r="K774" s="10"/>
      <c r="N774" s="10"/>
      <c r="O774" s="20"/>
      <c r="P774" s="20"/>
      <c r="R774" s="20"/>
      <c r="S774" s="10"/>
    </row>
    <row r="775" spans="3:19" s="19" customFormat="1" x14ac:dyDescent="0.2">
      <c r="C775" s="29"/>
      <c r="E775" s="10"/>
      <c r="H775" s="10"/>
      <c r="K775" s="10"/>
      <c r="N775" s="10"/>
      <c r="O775" s="20"/>
      <c r="P775" s="20"/>
      <c r="R775" s="20"/>
      <c r="S775" s="10"/>
    </row>
    <row r="776" spans="3:19" s="19" customFormat="1" x14ac:dyDescent="0.2">
      <c r="C776" s="29"/>
      <c r="E776" s="10"/>
      <c r="H776" s="10"/>
      <c r="K776" s="10"/>
      <c r="N776" s="10"/>
      <c r="O776" s="20"/>
      <c r="P776" s="20"/>
      <c r="R776" s="20"/>
      <c r="S776" s="10"/>
    </row>
    <row r="777" spans="3:19" s="19" customFormat="1" x14ac:dyDescent="0.2">
      <c r="C777" s="29"/>
      <c r="E777" s="10"/>
      <c r="H777" s="10"/>
      <c r="K777" s="10"/>
      <c r="N777" s="10"/>
      <c r="O777" s="20"/>
      <c r="P777" s="20"/>
      <c r="R777" s="20"/>
      <c r="S777" s="10"/>
    </row>
    <row r="778" spans="3:19" s="19" customFormat="1" x14ac:dyDescent="0.2">
      <c r="C778" s="29"/>
      <c r="E778" s="10"/>
      <c r="H778" s="10"/>
      <c r="K778" s="10"/>
      <c r="N778" s="10"/>
      <c r="O778" s="20"/>
      <c r="P778" s="20"/>
      <c r="R778" s="20"/>
      <c r="S778" s="10"/>
    </row>
    <row r="779" spans="3:19" s="19" customFormat="1" x14ac:dyDescent="0.2">
      <c r="C779" s="29"/>
      <c r="E779" s="10"/>
      <c r="H779" s="10"/>
      <c r="K779" s="10"/>
      <c r="N779" s="10"/>
      <c r="O779" s="20"/>
      <c r="P779" s="20"/>
      <c r="R779" s="20"/>
      <c r="S779" s="10"/>
    </row>
    <row r="780" spans="3:19" s="19" customFormat="1" x14ac:dyDescent="0.2">
      <c r="C780" s="29"/>
      <c r="E780" s="10"/>
      <c r="H780" s="10"/>
      <c r="K780" s="10"/>
      <c r="N780" s="10"/>
      <c r="O780" s="20"/>
      <c r="P780" s="20"/>
      <c r="R780" s="20"/>
      <c r="S780" s="10"/>
    </row>
    <row r="781" spans="3:19" s="19" customFormat="1" x14ac:dyDescent="0.2">
      <c r="C781" s="29"/>
      <c r="E781" s="10"/>
      <c r="H781" s="10"/>
      <c r="K781" s="10"/>
      <c r="N781" s="10"/>
      <c r="O781" s="20"/>
      <c r="P781" s="20"/>
      <c r="R781" s="20"/>
      <c r="S781" s="10"/>
    </row>
    <row r="782" spans="3:19" s="19" customFormat="1" x14ac:dyDescent="0.2">
      <c r="C782" s="29"/>
      <c r="E782" s="10"/>
      <c r="H782" s="10"/>
      <c r="K782" s="10"/>
      <c r="N782" s="10"/>
      <c r="O782" s="20"/>
      <c r="P782" s="20"/>
      <c r="R782" s="20"/>
      <c r="S782" s="10"/>
    </row>
    <row r="783" spans="3:19" s="19" customFormat="1" x14ac:dyDescent="0.2">
      <c r="C783" s="29"/>
      <c r="E783" s="10"/>
      <c r="H783" s="10"/>
      <c r="K783" s="10"/>
      <c r="N783" s="10"/>
      <c r="O783" s="20"/>
      <c r="P783" s="20"/>
      <c r="R783" s="20"/>
      <c r="S783" s="10"/>
    </row>
    <row r="784" spans="3:19" s="19" customFormat="1" x14ac:dyDescent="0.2">
      <c r="C784" s="29"/>
      <c r="E784" s="10"/>
      <c r="H784" s="10"/>
      <c r="K784" s="10"/>
      <c r="N784" s="10"/>
      <c r="O784" s="20"/>
      <c r="P784" s="20"/>
      <c r="R784" s="20"/>
      <c r="S784" s="10"/>
    </row>
    <row r="785" spans="3:19" s="19" customFormat="1" x14ac:dyDescent="0.2">
      <c r="C785" s="29"/>
      <c r="E785" s="10"/>
      <c r="H785" s="10"/>
      <c r="K785" s="10"/>
      <c r="N785" s="10"/>
      <c r="O785" s="20"/>
      <c r="P785" s="20"/>
      <c r="R785" s="20"/>
      <c r="S785" s="10"/>
    </row>
    <row r="786" spans="3:19" s="19" customFormat="1" x14ac:dyDescent="0.2">
      <c r="C786" s="29"/>
      <c r="E786" s="10"/>
      <c r="H786" s="10"/>
      <c r="K786" s="10"/>
      <c r="N786" s="10"/>
      <c r="O786" s="20"/>
      <c r="P786" s="20"/>
      <c r="R786" s="20"/>
      <c r="S786" s="10"/>
    </row>
    <row r="787" spans="3:19" s="19" customFormat="1" x14ac:dyDescent="0.2">
      <c r="C787" s="29"/>
      <c r="E787" s="10"/>
      <c r="H787" s="10"/>
      <c r="K787" s="10"/>
      <c r="N787" s="10"/>
      <c r="O787" s="20"/>
      <c r="P787" s="20"/>
      <c r="R787" s="20"/>
      <c r="S787" s="10"/>
    </row>
    <row r="788" spans="3:19" s="19" customFormat="1" x14ac:dyDescent="0.2">
      <c r="C788" s="29"/>
      <c r="E788" s="10"/>
      <c r="H788" s="10"/>
      <c r="K788" s="10"/>
      <c r="N788" s="10"/>
      <c r="O788" s="20"/>
      <c r="P788" s="20"/>
      <c r="R788" s="20"/>
      <c r="S788" s="10"/>
    </row>
    <row r="789" spans="3:19" s="19" customFormat="1" x14ac:dyDescent="0.2">
      <c r="C789" s="29"/>
      <c r="E789" s="10"/>
      <c r="H789" s="10"/>
      <c r="K789" s="10"/>
      <c r="N789" s="10"/>
      <c r="O789" s="20"/>
      <c r="P789" s="20"/>
      <c r="R789" s="20"/>
      <c r="S789" s="10"/>
    </row>
    <row r="790" spans="3:19" s="19" customFormat="1" x14ac:dyDescent="0.2">
      <c r="C790" s="29"/>
      <c r="E790" s="10"/>
      <c r="H790" s="10"/>
      <c r="K790" s="10"/>
      <c r="N790" s="10"/>
      <c r="O790" s="20"/>
      <c r="P790" s="20"/>
      <c r="R790" s="20"/>
      <c r="S790" s="10"/>
    </row>
    <row r="791" spans="3:19" s="19" customFormat="1" x14ac:dyDescent="0.2">
      <c r="C791" s="29"/>
      <c r="E791" s="10"/>
      <c r="H791" s="10"/>
      <c r="K791" s="10"/>
      <c r="N791" s="10"/>
      <c r="O791" s="20"/>
      <c r="P791" s="20"/>
      <c r="R791" s="20"/>
      <c r="S791" s="10"/>
    </row>
    <row r="792" spans="3:19" s="19" customFormat="1" x14ac:dyDescent="0.2">
      <c r="C792" s="29"/>
      <c r="E792" s="10"/>
      <c r="H792" s="10"/>
      <c r="K792" s="10"/>
      <c r="N792" s="10"/>
      <c r="O792" s="20"/>
      <c r="P792" s="20"/>
      <c r="R792" s="20"/>
      <c r="S792" s="10"/>
    </row>
    <row r="793" spans="3:19" s="19" customFormat="1" x14ac:dyDescent="0.2">
      <c r="C793" s="29"/>
      <c r="E793" s="10"/>
      <c r="H793" s="10"/>
      <c r="K793" s="10"/>
      <c r="N793" s="10"/>
      <c r="O793" s="20"/>
      <c r="P793" s="20"/>
      <c r="R793" s="20"/>
      <c r="S793" s="10"/>
    </row>
    <row r="794" spans="3:19" s="19" customFormat="1" x14ac:dyDescent="0.2">
      <c r="C794" s="29"/>
      <c r="E794" s="10"/>
      <c r="H794" s="10"/>
      <c r="K794" s="10"/>
      <c r="N794" s="10"/>
      <c r="O794" s="20"/>
      <c r="P794" s="20"/>
      <c r="R794" s="20"/>
      <c r="S794" s="10"/>
    </row>
    <row r="795" spans="3:19" s="19" customFormat="1" x14ac:dyDescent="0.2">
      <c r="C795" s="29"/>
      <c r="E795" s="10"/>
      <c r="H795" s="10"/>
      <c r="K795" s="10"/>
      <c r="N795" s="10"/>
      <c r="O795" s="20"/>
      <c r="P795" s="20"/>
      <c r="R795" s="20"/>
      <c r="S795" s="10"/>
    </row>
    <row r="796" spans="3:19" s="19" customFormat="1" x14ac:dyDescent="0.2">
      <c r="C796" s="29"/>
      <c r="E796" s="10"/>
      <c r="H796" s="10"/>
      <c r="K796" s="10"/>
      <c r="N796" s="10"/>
      <c r="O796" s="20"/>
      <c r="P796" s="20"/>
      <c r="R796" s="20"/>
      <c r="S796" s="10"/>
    </row>
    <row r="797" spans="3:19" s="19" customFormat="1" x14ac:dyDescent="0.2">
      <c r="C797" s="29"/>
      <c r="E797" s="10"/>
      <c r="H797" s="10"/>
      <c r="K797" s="10"/>
      <c r="N797" s="10"/>
      <c r="O797" s="20"/>
      <c r="P797" s="20"/>
      <c r="R797" s="20"/>
      <c r="S797" s="10"/>
    </row>
    <row r="798" spans="3:19" s="19" customFormat="1" x14ac:dyDescent="0.2">
      <c r="C798" s="29"/>
      <c r="E798" s="10"/>
      <c r="H798" s="10"/>
      <c r="K798" s="10"/>
      <c r="N798" s="10"/>
      <c r="O798" s="20"/>
      <c r="P798" s="20"/>
      <c r="R798" s="20"/>
      <c r="S798" s="10"/>
    </row>
    <row r="799" spans="3:19" s="19" customFormat="1" x14ac:dyDescent="0.2">
      <c r="C799" s="29"/>
      <c r="E799" s="10"/>
      <c r="H799" s="10"/>
      <c r="K799" s="10"/>
      <c r="N799" s="10"/>
      <c r="O799" s="20"/>
      <c r="P799" s="20"/>
      <c r="R799" s="20"/>
      <c r="S799" s="10"/>
    </row>
    <row r="800" spans="3:19" s="19" customFormat="1" x14ac:dyDescent="0.2">
      <c r="C800" s="29"/>
      <c r="E800" s="10"/>
      <c r="H800" s="10"/>
      <c r="K800" s="10"/>
      <c r="N800" s="10"/>
      <c r="O800" s="20"/>
      <c r="P800" s="20"/>
      <c r="R800" s="20"/>
      <c r="S800" s="10"/>
    </row>
    <row r="801" spans="3:19" s="19" customFormat="1" x14ac:dyDescent="0.2">
      <c r="C801" s="29"/>
      <c r="E801" s="10"/>
      <c r="H801" s="10"/>
      <c r="K801" s="10"/>
      <c r="N801" s="10"/>
      <c r="O801" s="20"/>
      <c r="P801" s="20"/>
      <c r="R801" s="20"/>
      <c r="S801" s="10"/>
    </row>
    <row r="802" spans="3:19" s="19" customFormat="1" x14ac:dyDescent="0.2">
      <c r="C802" s="29"/>
      <c r="E802" s="10"/>
      <c r="H802" s="10"/>
      <c r="K802" s="10"/>
      <c r="N802" s="10"/>
      <c r="O802" s="20"/>
      <c r="P802" s="20"/>
      <c r="R802" s="20"/>
      <c r="S802" s="10"/>
    </row>
    <row r="803" spans="3:19" s="19" customFormat="1" x14ac:dyDescent="0.2">
      <c r="C803" s="29"/>
      <c r="E803" s="10"/>
      <c r="H803" s="10"/>
      <c r="K803" s="10"/>
      <c r="N803" s="10"/>
      <c r="O803" s="20"/>
      <c r="P803" s="20"/>
      <c r="R803" s="20"/>
      <c r="S803" s="10"/>
    </row>
    <row r="804" spans="3:19" s="19" customFormat="1" x14ac:dyDescent="0.2">
      <c r="C804" s="29"/>
      <c r="E804" s="10"/>
      <c r="H804" s="10"/>
      <c r="K804" s="10"/>
      <c r="N804" s="10"/>
      <c r="O804" s="20"/>
      <c r="P804" s="20"/>
      <c r="R804" s="20"/>
      <c r="S804" s="10"/>
    </row>
    <row r="805" spans="3:19" s="19" customFormat="1" x14ac:dyDescent="0.2">
      <c r="C805" s="29"/>
      <c r="E805" s="10"/>
      <c r="H805" s="10"/>
      <c r="K805" s="10"/>
      <c r="N805" s="10"/>
      <c r="O805" s="20"/>
      <c r="P805" s="20"/>
      <c r="R805" s="20"/>
      <c r="S805" s="10"/>
    </row>
    <row r="806" spans="3:19" s="19" customFormat="1" x14ac:dyDescent="0.2">
      <c r="C806" s="29"/>
      <c r="E806" s="10"/>
      <c r="H806" s="10"/>
      <c r="K806" s="10"/>
      <c r="N806" s="10"/>
      <c r="O806" s="20"/>
      <c r="P806" s="20"/>
      <c r="R806" s="20"/>
      <c r="S806" s="10"/>
    </row>
    <row r="807" spans="3:19" s="19" customFormat="1" x14ac:dyDescent="0.2">
      <c r="C807" s="29"/>
      <c r="E807" s="10"/>
      <c r="H807" s="10"/>
      <c r="K807" s="10"/>
      <c r="N807" s="10"/>
      <c r="O807" s="20"/>
      <c r="P807" s="20"/>
      <c r="R807" s="20"/>
      <c r="S807" s="10"/>
    </row>
    <row r="808" spans="3:19" s="19" customFormat="1" x14ac:dyDescent="0.2">
      <c r="C808" s="29"/>
      <c r="E808" s="10"/>
      <c r="H808" s="10"/>
      <c r="K808" s="10"/>
      <c r="N808" s="10"/>
      <c r="O808" s="20"/>
      <c r="P808" s="20"/>
      <c r="R808" s="20"/>
      <c r="S808" s="10"/>
    </row>
    <row r="809" spans="3:19" s="19" customFormat="1" x14ac:dyDescent="0.2">
      <c r="C809" s="29"/>
      <c r="E809" s="10"/>
      <c r="H809" s="10"/>
      <c r="K809" s="10"/>
      <c r="N809" s="10"/>
      <c r="O809" s="20"/>
      <c r="P809" s="20"/>
      <c r="R809" s="20"/>
      <c r="S809" s="10"/>
    </row>
    <row r="810" spans="3:19" s="19" customFormat="1" x14ac:dyDescent="0.2">
      <c r="C810" s="29"/>
      <c r="E810" s="10"/>
      <c r="H810" s="10"/>
      <c r="K810" s="10"/>
      <c r="N810" s="10"/>
      <c r="O810" s="20"/>
      <c r="P810" s="20"/>
      <c r="R810" s="20"/>
      <c r="S810" s="10"/>
    </row>
    <row r="811" spans="3:19" s="19" customFormat="1" x14ac:dyDescent="0.2">
      <c r="C811" s="29"/>
      <c r="E811" s="10"/>
      <c r="H811" s="10"/>
      <c r="K811" s="10"/>
      <c r="N811" s="10"/>
      <c r="O811" s="20"/>
      <c r="P811" s="20"/>
      <c r="R811" s="20"/>
      <c r="S811" s="10"/>
    </row>
    <row r="812" spans="3:19" s="19" customFormat="1" x14ac:dyDescent="0.2">
      <c r="C812" s="29"/>
      <c r="E812" s="10"/>
      <c r="H812" s="10"/>
      <c r="K812" s="10"/>
      <c r="N812" s="10"/>
      <c r="O812" s="20"/>
      <c r="P812" s="20"/>
      <c r="R812" s="20"/>
      <c r="S812" s="10"/>
    </row>
    <row r="813" spans="3:19" s="19" customFormat="1" x14ac:dyDescent="0.2">
      <c r="C813" s="29"/>
      <c r="E813" s="10"/>
      <c r="H813" s="10"/>
      <c r="K813" s="10"/>
      <c r="N813" s="10"/>
      <c r="O813" s="20"/>
      <c r="P813" s="20"/>
      <c r="R813" s="20"/>
      <c r="S813" s="10"/>
    </row>
    <row r="814" spans="3:19" s="19" customFormat="1" x14ac:dyDescent="0.2">
      <c r="C814" s="29"/>
      <c r="E814" s="10"/>
      <c r="H814" s="10"/>
      <c r="K814" s="10"/>
      <c r="N814" s="10"/>
      <c r="O814" s="20"/>
      <c r="P814" s="20"/>
      <c r="R814" s="20"/>
      <c r="S814" s="10"/>
    </row>
    <row r="815" spans="3:19" s="19" customFormat="1" x14ac:dyDescent="0.2">
      <c r="C815" s="29"/>
      <c r="E815" s="10"/>
      <c r="H815" s="10"/>
      <c r="K815" s="10"/>
      <c r="N815" s="10"/>
      <c r="O815" s="20"/>
      <c r="P815" s="20"/>
      <c r="R815" s="20"/>
      <c r="S815" s="10"/>
    </row>
    <row r="816" spans="3:19" s="19" customFormat="1" x14ac:dyDescent="0.2">
      <c r="C816" s="29"/>
      <c r="E816" s="10"/>
      <c r="H816" s="10"/>
      <c r="K816" s="10"/>
      <c r="N816" s="10"/>
      <c r="O816" s="20"/>
      <c r="P816" s="20"/>
      <c r="R816" s="20"/>
      <c r="S816" s="10"/>
    </row>
    <row r="817" spans="3:19" s="19" customFormat="1" x14ac:dyDescent="0.2">
      <c r="C817" s="29"/>
      <c r="E817" s="10"/>
      <c r="H817" s="10"/>
      <c r="K817" s="10"/>
      <c r="N817" s="10"/>
      <c r="O817" s="20"/>
      <c r="P817" s="20"/>
      <c r="R817" s="20"/>
      <c r="S817" s="10"/>
    </row>
    <row r="818" spans="3:19" s="19" customFormat="1" x14ac:dyDescent="0.2">
      <c r="C818" s="29"/>
      <c r="E818" s="10"/>
      <c r="H818" s="10"/>
      <c r="K818" s="10"/>
      <c r="N818" s="10"/>
      <c r="O818" s="20"/>
      <c r="P818" s="20"/>
      <c r="R818" s="20"/>
      <c r="S818" s="10"/>
    </row>
    <row r="819" spans="3:19" s="19" customFormat="1" x14ac:dyDescent="0.2">
      <c r="C819" s="29"/>
      <c r="E819" s="10"/>
      <c r="H819" s="10"/>
      <c r="K819" s="10"/>
      <c r="N819" s="10"/>
      <c r="O819" s="20"/>
      <c r="P819" s="20"/>
      <c r="R819" s="20"/>
      <c r="S819" s="10"/>
    </row>
    <row r="820" spans="3:19" s="19" customFormat="1" x14ac:dyDescent="0.2">
      <c r="C820" s="29"/>
      <c r="E820" s="10"/>
      <c r="H820" s="10"/>
      <c r="K820" s="10"/>
      <c r="N820" s="10"/>
      <c r="O820" s="20"/>
      <c r="P820" s="20"/>
      <c r="R820" s="20"/>
      <c r="S820" s="10"/>
    </row>
    <row r="821" spans="3:19" s="19" customFormat="1" x14ac:dyDescent="0.2">
      <c r="C821" s="29"/>
      <c r="E821" s="10"/>
      <c r="H821" s="10"/>
      <c r="K821" s="10"/>
      <c r="N821" s="10"/>
      <c r="O821" s="20"/>
      <c r="P821" s="20"/>
      <c r="R821" s="20"/>
      <c r="S821" s="10"/>
    </row>
    <row r="822" spans="3:19" s="19" customFormat="1" x14ac:dyDescent="0.2">
      <c r="C822" s="29"/>
      <c r="E822" s="10"/>
      <c r="H822" s="10"/>
      <c r="K822" s="10"/>
      <c r="N822" s="10"/>
      <c r="O822" s="20"/>
      <c r="P822" s="20"/>
      <c r="R822" s="20"/>
      <c r="S822" s="10"/>
    </row>
    <row r="823" spans="3:19" s="19" customFormat="1" x14ac:dyDescent="0.2">
      <c r="C823" s="29"/>
      <c r="E823" s="10"/>
      <c r="H823" s="10"/>
      <c r="K823" s="10"/>
      <c r="N823" s="10"/>
      <c r="O823" s="20"/>
      <c r="P823" s="20"/>
      <c r="R823" s="20"/>
      <c r="S823" s="10"/>
    </row>
    <row r="824" spans="3:19" s="19" customFormat="1" x14ac:dyDescent="0.2">
      <c r="C824" s="29"/>
      <c r="E824" s="10"/>
      <c r="H824" s="10"/>
      <c r="K824" s="10"/>
      <c r="N824" s="10"/>
      <c r="O824" s="20"/>
      <c r="P824" s="20"/>
      <c r="R824" s="20"/>
      <c r="S824" s="10"/>
    </row>
    <row r="825" spans="3:19" s="19" customFormat="1" x14ac:dyDescent="0.2">
      <c r="C825" s="29"/>
      <c r="E825" s="10"/>
      <c r="H825" s="10"/>
      <c r="K825" s="10"/>
      <c r="N825" s="10"/>
      <c r="O825" s="20"/>
      <c r="P825" s="20"/>
      <c r="R825" s="20"/>
      <c r="S825" s="10"/>
    </row>
    <row r="826" spans="3:19" s="19" customFormat="1" x14ac:dyDescent="0.2">
      <c r="C826" s="29"/>
      <c r="E826" s="10"/>
      <c r="H826" s="10"/>
      <c r="K826" s="10"/>
      <c r="N826" s="10"/>
      <c r="O826" s="20"/>
      <c r="P826" s="20"/>
      <c r="R826" s="20"/>
      <c r="S826" s="10"/>
    </row>
    <row r="827" spans="3:19" s="19" customFormat="1" x14ac:dyDescent="0.2">
      <c r="C827" s="29"/>
      <c r="E827" s="10"/>
      <c r="H827" s="10"/>
      <c r="K827" s="10"/>
      <c r="N827" s="10"/>
      <c r="O827" s="20"/>
      <c r="P827" s="20"/>
      <c r="R827" s="20"/>
      <c r="S827" s="10"/>
    </row>
    <row r="828" spans="3:19" s="19" customFormat="1" x14ac:dyDescent="0.2">
      <c r="C828" s="29"/>
      <c r="E828" s="10"/>
      <c r="H828" s="10"/>
      <c r="K828" s="10"/>
      <c r="N828" s="10"/>
      <c r="O828" s="20"/>
      <c r="P828" s="20"/>
      <c r="R828" s="20"/>
      <c r="S828" s="10"/>
    </row>
    <row r="829" spans="3:19" s="19" customFormat="1" x14ac:dyDescent="0.2">
      <c r="C829" s="29"/>
      <c r="E829" s="10"/>
      <c r="H829" s="10"/>
      <c r="K829" s="10"/>
      <c r="N829" s="10"/>
      <c r="O829" s="20"/>
      <c r="P829" s="20"/>
      <c r="R829" s="20"/>
      <c r="S829" s="10"/>
    </row>
    <row r="830" spans="3:19" s="19" customFormat="1" x14ac:dyDescent="0.2">
      <c r="C830" s="29"/>
      <c r="E830" s="10"/>
      <c r="H830" s="10"/>
      <c r="K830" s="10"/>
      <c r="N830" s="10"/>
      <c r="O830" s="20"/>
      <c r="P830" s="20"/>
      <c r="R830" s="20"/>
      <c r="S830" s="10"/>
    </row>
    <row r="831" spans="3:19" s="19" customFormat="1" x14ac:dyDescent="0.2">
      <c r="C831" s="29"/>
      <c r="E831" s="10"/>
      <c r="H831" s="10"/>
      <c r="K831" s="10"/>
      <c r="N831" s="10"/>
      <c r="O831" s="20"/>
      <c r="P831" s="20"/>
      <c r="R831" s="20"/>
      <c r="S831" s="10"/>
    </row>
    <row r="832" spans="3:19" s="19" customFormat="1" x14ac:dyDescent="0.2">
      <c r="C832" s="29"/>
      <c r="E832" s="10"/>
      <c r="H832" s="10"/>
      <c r="K832" s="10"/>
      <c r="N832" s="10"/>
      <c r="O832" s="20"/>
      <c r="P832" s="20"/>
      <c r="R832" s="20"/>
      <c r="S832" s="10"/>
    </row>
    <row r="833" spans="3:19" s="19" customFormat="1" x14ac:dyDescent="0.2">
      <c r="C833" s="29"/>
      <c r="E833" s="10"/>
      <c r="H833" s="10"/>
      <c r="K833" s="10"/>
      <c r="N833" s="10"/>
      <c r="O833" s="20"/>
      <c r="P833" s="20"/>
      <c r="R833" s="20"/>
      <c r="S833" s="10"/>
    </row>
    <row r="834" spans="3:19" s="19" customFormat="1" x14ac:dyDescent="0.2">
      <c r="C834" s="29"/>
      <c r="E834" s="10"/>
      <c r="H834" s="10"/>
      <c r="K834" s="10"/>
      <c r="N834" s="10"/>
      <c r="O834" s="20"/>
      <c r="P834" s="20"/>
      <c r="R834" s="20"/>
      <c r="S834" s="10"/>
    </row>
    <row r="835" spans="3:19" s="19" customFormat="1" x14ac:dyDescent="0.2">
      <c r="C835" s="29"/>
      <c r="E835" s="10"/>
      <c r="H835" s="10"/>
      <c r="K835" s="10"/>
      <c r="N835" s="10"/>
      <c r="O835" s="20"/>
      <c r="P835" s="20"/>
      <c r="R835" s="20"/>
      <c r="S835" s="10"/>
    </row>
    <row r="836" spans="3:19" s="19" customFormat="1" x14ac:dyDescent="0.2">
      <c r="C836" s="29"/>
      <c r="E836" s="10"/>
      <c r="H836" s="10"/>
      <c r="K836" s="10"/>
      <c r="N836" s="10"/>
      <c r="O836" s="20"/>
      <c r="P836" s="20"/>
      <c r="R836" s="20"/>
      <c r="S836" s="10"/>
    </row>
    <row r="837" spans="3:19" s="19" customFormat="1" x14ac:dyDescent="0.2">
      <c r="C837" s="29"/>
      <c r="E837" s="10"/>
      <c r="H837" s="10"/>
      <c r="K837" s="10"/>
      <c r="N837" s="10"/>
      <c r="O837" s="20"/>
      <c r="P837" s="20"/>
      <c r="R837" s="20"/>
      <c r="S837" s="10"/>
    </row>
    <row r="838" spans="3:19" s="19" customFormat="1" x14ac:dyDescent="0.2">
      <c r="C838" s="29"/>
      <c r="E838" s="10"/>
      <c r="H838" s="10"/>
      <c r="K838" s="10"/>
      <c r="N838" s="10"/>
      <c r="O838" s="20"/>
      <c r="P838" s="20"/>
      <c r="R838" s="20"/>
      <c r="S838" s="10"/>
    </row>
    <row r="839" spans="3:19" s="19" customFormat="1" x14ac:dyDescent="0.2">
      <c r="C839" s="29"/>
      <c r="E839" s="10"/>
      <c r="H839" s="10"/>
      <c r="K839" s="10"/>
      <c r="N839" s="10"/>
      <c r="O839" s="20"/>
      <c r="P839" s="20"/>
      <c r="R839" s="20"/>
      <c r="S839" s="10"/>
    </row>
    <row r="840" spans="3:19" s="19" customFormat="1" x14ac:dyDescent="0.2">
      <c r="C840" s="29"/>
      <c r="E840" s="10"/>
      <c r="H840" s="10"/>
      <c r="K840" s="10"/>
      <c r="N840" s="10"/>
      <c r="O840" s="20"/>
      <c r="P840" s="20"/>
      <c r="R840" s="20"/>
      <c r="S840" s="10"/>
    </row>
    <row r="841" spans="3:19" s="19" customFormat="1" x14ac:dyDescent="0.2">
      <c r="C841" s="29"/>
      <c r="E841" s="10"/>
      <c r="H841" s="10"/>
      <c r="K841" s="10"/>
      <c r="N841" s="10"/>
      <c r="O841" s="20"/>
      <c r="P841" s="20"/>
      <c r="R841" s="20"/>
      <c r="S841" s="10"/>
    </row>
    <row r="842" spans="3:19" s="19" customFormat="1" x14ac:dyDescent="0.2">
      <c r="C842" s="29"/>
      <c r="E842" s="10"/>
      <c r="H842" s="10"/>
      <c r="K842" s="10"/>
      <c r="N842" s="10"/>
      <c r="O842" s="20"/>
      <c r="P842" s="20"/>
      <c r="R842" s="20"/>
      <c r="S842" s="10"/>
    </row>
    <row r="843" spans="3:19" s="19" customFormat="1" x14ac:dyDescent="0.2">
      <c r="C843" s="29"/>
      <c r="E843" s="10"/>
      <c r="H843" s="10"/>
      <c r="K843" s="10"/>
      <c r="N843" s="10"/>
      <c r="O843" s="20"/>
      <c r="P843" s="20"/>
      <c r="R843" s="20"/>
      <c r="S843" s="10"/>
    </row>
    <row r="844" spans="3:19" s="19" customFormat="1" x14ac:dyDescent="0.2">
      <c r="C844" s="29"/>
      <c r="E844" s="10"/>
      <c r="H844" s="10"/>
      <c r="K844" s="10"/>
      <c r="N844" s="10"/>
      <c r="O844" s="20"/>
      <c r="P844" s="20"/>
      <c r="R844" s="20"/>
      <c r="S844" s="10"/>
    </row>
    <row r="845" spans="3:19" s="19" customFormat="1" x14ac:dyDescent="0.2">
      <c r="C845" s="29"/>
      <c r="E845" s="10"/>
      <c r="H845" s="10"/>
      <c r="K845" s="10"/>
      <c r="N845" s="10"/>
      <c r="O845" s="20"/>
      <c r="P845" s="20"/>
      <c r="R845" s="20"/>
      <c r="S845" s="10"/>
    </row>
    <row r="846" spans="3:19" s="19" customFormat="1" x14ac:dyDescent="0.2">
      <c r="C846" s="29"/>
      <c r="E846" s="10"/>
      <c r="H846" s="10"/>
      <c r="K846" s="10"/>
      <c r="N846" s="10"/>
      <c r="O846" s="20"/>
      <c r="P846" s="20"/>
      <c r="R846" s="20"/>
      <c r="S846" s="10"/>
    </row>
    <row r="847" spans="3:19" s="19" customFormat="1" x14ac:dyDescent="0.2">
      <c r="C847" s="29"/>
      <c r="E847" s="10"/>
      <c r="H847" s="10"/>
      <c r="K847" s="10"/>
      <c r="N847" s="10"/>
      <c r="O847" s="20"/>
      <c r="P847" s="20"/>
      <c r="R847" s="20"/>
      <c r="S847" s="10"/>
    </row>
    <row r="848" spans="3:19" s="19" customFormat="1" x14ac:dyDescent="0.2">
      <c r="C848" s="29"/>
      <c r="E848" s="10"/>
      <c r="H848" s="10"/>
      <c r="K848" s="10"/>
      <c r="N848" s="10"/>
      <c r="O848" s="20"/>
      <c r="P848" s="20"/>
      <c r="R848" s="20"/>
      <c r="S848" s="10"/>
    </row>
    <row r="849" spans="3:19" s="19" customFormat="1" x14ac:dyDescent="0.2">
      <c r="C849" s="29"/>
      <c r="E849" s="10"/>
      <c r="H849" s="10"/>
      <c r="K849" s="10"/>
      <c r="N849" s="10"/>
      <c r="O849" s="20"/>
      <c r="P849" s="20"/>
      <c r="R849" s="20"/>
      <c r="S849" s="10"/>
    </row>
    <row r="850" spans="3:19" s="19" customFormat="1" x14ac:dyDescent="0.2">
      <c r="C850" s="29"/>
      <c r="E850" s="10"/>
      <c r="H850" s="10"/>
      <c r="K850" s="10"/>
      <c r="N850" s="10"/>
      <c r="O850" s="20"/>
      <c r="P850" s="20"/>
      <c r="R850" s="20"/>
      <c r="S850" s="10"/>
    </row>
    <row r="851" spans="3:19" s="19" customFormat="1" x14ac:dyDescent="0.2">
      <c r="C851" s="29"/>
      <c r="E851" s="10"/>
      <c r="H851" s="10"/>
      <c r="K851" s="10"/>
      <c r="N851" s="10"/>
      <c r="O851" s="20"/>
      <c r="P851" s="20"/>
      <c r="R851" s="20"/>
      <c r="S851" s="10"/>
    </row>
    <row r="852" spans="3:19" s="19" customFormat="1" x14ac:dyDescent="0.2">
      <c r="C852" s="29"/>
      <c r="E852" s="10"/>
      <c r="H852" s="10"/>
      <c r="K852" s="10"/>
      <c r="N852" s="10"/>
      <c r="O852" s="20"/>
      <c r="P852" s="20"/>
      <c r="R852" s="20"/>
      <c r="S852" s="10"/>
    </row>
    <row r="853" spans="3:19" s="19" customFormat="1" x14ac:dyDescent="0.2">
      <c r="C853" s="29"/>
      <c r="E853" s="10"/>
      <c r="H853" s="10"/>
      <c r="K853" s="10"/>
      <c r="N853" s="10"/>
      <c r="O853" s="20"/>
      <c r="P853" s="20"/>
      <c r="R853" s="20"/>
      <c r="S853" s="10"/>
    </row>
    <row r="854" spans="3:19" s="19" customFormat="1" x14ac:dyDescent="0.2">
      <c r="C854" s="29"/>
      <c r="E854" s="10"/>
      <c r="H854" s="10"/>
      <c r="K854" s="10"/>
      <c r="N854" s="10"/>
      <c r="O854" s="20"/>
      <c r="P854" s="20"/>
      <c r="R854" s="20"/>
      <c r="S854" s="10"/>
    </row>
    <row r="855" spans="3:19" s="19" customFormat="1" x14ac:dyDescent="0.2">
      <c r="C855" s="29"/>
      <c r="E855" s="10"/>
      <c r="H855" s="10"/>
      <c r="K855" s="10"/>
      <c r="N855" s="10"/>
      <c r="O855" s="20"/>
      <c r="P855" s="20"/>
      <c r="R855" s="20"/>
      <c r="S855" s="10"/>
    </row>
    <row r="856" spans="3:19" s="19" customFormat="1" x14ac:dyDescent="0.2">
      <c r="C856" s="29"/>
      <c r="E856" s="10"/>
      <c r="H856" s="10"/>
      <c r="K856" s="10"/>
      <c r="N856" s="10"/>
      <c r="O856" s="20"/>
      <c r="P856" s="20"/>
      <c r="R856" s="20"/>
      <c r="S856" s="10"/>
    </row>
    <row r="857" spans="3:19" s="19" customFormat="1" x14ac:dyDescent="0.2">
      <c r="C857" s="29"/>
      <c r="E857" s="10"/>
      <c r="H857" s="10"/>
      <c r="K857" s="10"/>
      <c r="N857" s="10"/>
      <c r="O857" s="20"/>
      <c r="P857" s="20"/>
      <c r="R857" s="20"/>
      <c r="S857" s="10"/>
    </row>
    <row r="858" spans="3:19" s="19" customFormat="1" x14ac:dyDescent="0.2">
      <c r="C858" s="29"/>
      <c r="E858" s="10"/>
      <c r="H858" s="10"/>
      <c r="K858" s="10"/>
      <c r="N858" s="10"/>
      <c r="O858" s="20"/>
      <c r="P858" s="20"/>
      <c r="R858" s="20"/>
      <c r="S858" s="10"/>
    </row>
    <row r="859" spans="3:19" s="19" customFormat="1" x14ac:dyDescent="0.2">
      <c r="C859" s="29"/>
      <c r="E859" s="10"/>
      <c r="H859" s="10"/>
      <c r="K859" s="10"/>
      <c r="N859" s="10"/>
      <c r="O859" s="20"/>
      <c r="P859" s="20"/>
      <c r="R859" s="20"/>
      <c r="S859" s="10"/>
    </row>
    <row r="860" spans="3:19" s="19" customFormat="1" x14ac:dyDescent="0.2">
      <c r="C860" s="29"/>
      <c r="E860" s="10"/>
      <c r="H860" s="10"/>
      <c r="K860" s="10"/>
      <c r="N860" s="10"/>
      <c r="O860" s="20"/>
      <c r="P860" s="20"/>
      <c r="R860" s="20"/>
      <c r="S860" s="10"/>
    </row>
    <row r="861" spans="3:19" s="19" customFormat="1" x14ac:dyDescent="0.2">
      <c r="C861" s="29"/>
      <c r="E861" s="10"/>
      <c r="H861" s="10"/>
      <c r="K861" s="10"/>
      <c r="N861" s="10"/>
      <c r="O861" s="20"/>
      <c r="P861" s="20"/>
      <c r="R861" s="20"/>
      <c r="S861" s="10"/>
    </row>
    <row r="862" spans="3:19" s="19" customFormat="1" x14ac:dyDescent="0.2">
      <c r="C862" s="29"/>
      <c r="E862" s="10"/>
      <c r="H862" s="10"/>
      <c r="K862" s="10"/>
      <c r="N862" s="10"/>
      <c r="O862" s="20"/>
      <c r="P862" s="20"/>
      <c r="R862" s="20"/>
      <c r="S862" s="10"/>
    </row>
    <row r="863" spans="3:19" s="19" customFormat="1" x14ac:dyDescent="0.2">
      <c r="C863" s="29"/>
      <c r="E863" s="10"/>
      <c r="H863" s="10"/>
      <c r="K863" s="10"/>
      <c r="N863" s="10"/>
      <c r="O863" s="20"/>
      <c r="P863" s="20"/>
      <c r="R863" s="20"/>
      <c r="S863" s="10"/>
    </row>
    <row r="864" spans="3:19" s="19" customFormat="1" x14ac:dyDescent="0.2">
      <c r="C864" s="29"/>
      <c r="E864" s="10"/>
      <c r="H864" s="10"/>
      <c r="K864" s="10"/>
      <c r="N864" s="10"/>
      <c r="O864" s="20"/>
      <c r="P864" s="20"/>
      <c r="R864" s="20"/>
      <c r="S864" s="10"/>
    </row>
    <row r="865" spans="3:19" s="19" customFormat="1" x14ac:dyDescent="0.2">
      <c r="C865" s="29"/>
      <c r="E865" s="10"/>
      <c r="H865" s="10"/>
      <c r="K865" s="10"/>
      <c r="N865" s="10"/>
      <c r="O865" s="20"/>
      <c r="P865" s="20"/>
      <c r="R865" s="20"/>
      <c r="S865" s="10"/>
    </row>
    <row r="866" spans="3:19" s="19" customFormat="1" x14ac:dyDescent="0.2">
      <c r="C866" s="29"/>
      <c r="E866" s="10"/>
      <c r="H866" s="10"/>
      <c r="K866" s="10"/>
      <c r="N866" s="10"/>
      <c r="O866" s="20"/>
      <c r="P866" s="20"/>
      <c r="R866" s="20"/>
      <c r="S866" s="10"/>
    </row>
    <row r="867" spans="3:19" s="19" customFormat="1" x14ac:dyDescent="0.2">
      <c r="C867" s="29"/>
      <c r="E867" s="10"/>
      <c r="H867" s="10"/>
      <c r="K867" s="10"/>
      <c r="N867" s="10"/>
      <c r="O867" s="20"/>
      <c r="P867" s="20"/>
      <c r="R867" s="20"/>
      <c r="S867" s="10"/>
    </row>
    <row r="868" spans="3:19" s="19" customFormat="1" x14ac:dyDescent="0.2">
      <c r="C868" s="29"/>
      <c r="E868" s="10"/>
      <c r="H868" s="10"/>
      <c r="K868" s="10"/>
      <c r="N868" s="10"/>
      <c r="O868" s="20"/>
      <c r="P868" s="20"/>
      <c r="R868" s="20"/>
      <c r="S868" s="10"/>
    </row>
    <row r="869" spans="3:19" s="19" customFormat="1" x14ac:dyDescent="0.2">
      <c r="C869" s="29"/>
      <c r="E869" s="10"/>
      <c r="H869" s="10"/>
      <c r="K869" s="10"/>
      <c r="N869" s="10"/>
      <c r="O869" s="20"/>
      <c r="P869" s="20"/>
      <c r="R869" s="20"/>
      <c r="S869" s="10"/>
    </row>
    <row r="870" spans="3:19" s="19" customFormat="1" x14ac:dyDescent="0.2">
      <c r="C870" s="29"/>
      <c r="E870" s="10"/>
      <c r="H870" s="10"/>
      <c r="K870" s="10"/>
      <c r="N870" s="10"/>
      <c r="O870" s="20"/>
      <c r="P870" s="20"/>
      <c r="R870" s="20"/>
      <c r="S870" s="10"/>
    </row>
    <row r="871" spans="3:19" s="19" customFormat="1" x14ac:dyDescent="0.2">
      <c r="C871" s="29"/>
      <c r="E871" s="10"/>
      <c r="H871" s="10"/>
      <c r="K871" s="10"/>
      <c r="N871" s="10"/>
      <c r="O871" s="20"/>
      <c r="P871" s="20"/>
      <c r="R871" s="20"/>
      <c r="S871" s="10"/>
    </row>
    <row r="872" spans="3:19" s="19" customFormat="1" x14ac:dyDescent="0.2">
      <c r="C872" s="29"/>
      <c r="E872" s="10"/>
      <c r="H872" s="10"/>
      <c r="K872" s="10"/>
      <c r="N872" s="10"/>
      <c r="O872" s="20"/>
      <c r="P872" s="20"/>
      <c r="R872" s="20"/>
      <c r="S872" s="10"/>
    </row>
    <row r="873" spans="3:19" s="19" customFormat="1" x14ac:dyDescent="0.2">
      <c r="C873" s="29"/>
      <c r="E873" s="10"/>
      <c r="H873" s="10"/>
      <c r="K873" s="10"/>
      <c r="N873" s="10"/>
      <c r="O873" s="20"/>
      <c r="P873" s="20"/>
      <c r="R873" s="20"/>
      <c r="S873" s="10"/>
    </row>
    <row r="874" spans="3:19" s="19" customFormat="1" x14ac:dyDescent="0.2">
      <c r="C874" s="29"/>
      <c r="E874" s="10"/>
      <c r="H874" s="10"/>
      <c r="K874" s="10"/>
      <c r="N874" s="10"/>
      <c r="O874" s="20"/>
      <c r="P874" s="20"/>
      <c r="R874" s="20"/>
      <c r="S874" s="10"/>
    </row>
    <row r="875" spans="3:19" s="19" customFormat="1" x14ac:dyDescent="0.2">
      <c r="C875" s="29"/>
      <c r="E875" s="10"/>
      <c r="H875" s="10"/>
      <c r="K875" s="10"/>
      <c r="N875" s="10"/>
      <c r="O875" s="20"/>
      <c r="P875" s="20"/>
      <c r="R875" s="20"/>
      <c r="S875" s="10"/>
    </row>
    <row r="876" spans="3:19" s="19" customFormat="1" x14ac:dyDescent="0.2">
      <c r="C876" s="29"/>
      <c r="E876" s="10"/>
      <c r="H876" s="10"/>
      <c r="K876" s="10"/>
      <c r="N876" s="10"/>
      <c r="O876" s="20"/>
      <c r="P876" s="20"/>
      <c r="R876" s="20"/>
      <c r="S876" s="10"/>
    </row>
    <row r="877" spans="3:19" s="19" customFormat="1" x14ac:dyDescent="0.2">
      <c r="C877" s="29"/>
      <c r="E877" s="10"/>
      <c r="H877" s="10"/>
      <c r="K877" s="10"/>
      <c r="N877" s="10"/>
      <c r="O877" s="20"/>
      <c r="P877" s="20"/>
      <c r="R877" s="20"/>
      <c r="S877" s="10"/>
    </row>
    <row r="878" spans="3:19" s="19" customFormat="1" x14ac:dyDescent="0.2">
      <c r="C878" s="29"/>
      <c r="E878" s="10"/>
      <c r="H878" s="10"/>
      <c r="K878" s="10"/>
      <c r="N878" s="10"/>
      <c r="O878" s="20"/>
      <c r="P878" s="20"/>
      <c r="R878" s="20"/>
      <c r="S878" s="10"/>
    </row>
    <row r="879" spans="3:19" s="19" customFormat="1" x14ac:dyDescent="0.2">
      <c r="C879" s="29"/>
      <c r="E879" s="10"/>
      <c r="H879" s="10"/>
      <c r="K879" s="10"/>
      <c r="N879" s="10"/>
      <c r="O879" s="20"/>
      <c r="P879" s="20"/>
      <c r="R879" s="20"/>
      <c r="S879" s="10"/>
    </row>
    <row r="880" spans="3:19" s="19" customFormat="1" x14ac:dyDescent="0.2">
      <c r="C880" s="29"/>
      <c r="E880" s="10"/>
      <c r="H880" s="10"/>
      <c r="K880" s="10"/>
      <c r="N880" s="10"/>
      <c r="O880" s="20"/>
      <c r="P880" s="20"/>
      <c r="R880" s="20"/>
      <c r="S880" s="10"/>
    </row>
    <row r="881" spans="3:19" s="19" customFormat="1" x14ac:dyDescent="0.2">
      <c r="C881" s="29"/>
      <c r="E881" s="10"/>
      <c r="H881" s="10"/>
      <c r="K881" s="10"/>
      <c r="N881" s="10"/>
      <c r="O881" s="20"/>
      <c r="P881" s="20"/>
      <c r="R881" s="20"/>
      <c r="S881" s="10"/>
    </row>
    <row r="882" spans="3:19" s="19" customFormat="1" x14ac:dyDescent="0.2">
      <c r="C882" s="29"/>
      <c r="E882" s="10"/>
      <c r="H882" s="10"/>
      <c r="K882" s="10"/>
      <c r="N882" s="10"/>
      <c r="O882" s="20"/>
      <c r="P882" s="20"/>
      <c r="R882" s="20"/>
      <c r="S882" s="10"/>
    </row>
    <row r="883" spans="3:19" s="19" customFormat="1" x14ac:dyDescent="0.2">
      <c r="C883" s="29"/>
      <c r="E883" s="10"/>
      <c r="H883" s="10"/>
      <c r="K883" s="10"/>
      <c r="N883" s="10"/>
      <c r="O883" s="20"/>
      <c r="P883" s="20"/>
      <c r="R883" s="20"/>
      <c r="S883" s="10"/>
    </row>
    <row r="884" spans="3:19" s="19" customFormat="1" x14ac:dyDescent="0.2">
      <c r="C884" s="29"/>
      <c r="E884" s="10"/>
      <c r="H884" s="10"/>
      <c r="K884" s="10"/>
      <c r="N884" s="10"/>
      <c r="O884" s="20"/>
      <c r="P884" s="20"/>
      <c r="R884" s="20"/>
      <c r="S884" s="10"/>
    </row>
    <row r="885" spans="3:19" s="19" customFormat="1" x14ac:dyDescent="0.2">
      <c r="C885" s="29"/>
      <c r="E885" s="10"/>
      <c r="H885" s="10"/>
      <c r="K885" s="10"/>
      <c r="N885" s="10"/>
      <c r="O885" s="20"/>
      <c r="P885" s="20"/>
      <c r="R885" s="20"/>
      <c r="S885" s="10"/>
    </row>
    <row r="886" spans="3:19" s="19" customFormat="1" x14ac:dyDescent="0.2">
      <c r="C886" s="29"/>
      <c r="E886" s="10"/>
      <c r="H886" s="10"/>
      <c r="K886" s="10"/>
      <c r="N886" s="10"/>
      <c r="O886" s="20"/>
      <c r="P886" s="20"/>
      <c r="R886" s="20"/>
      <c r="S886" s="10"/>
    </row>
    <row r="887" spans="3:19" s="19" customFormat="1" x14ac:dyDescent="0.2">
      <c r="C887" s="29"/>
      <c r="E887" s="10"/>
      <c r="H887" s="10"/>
      <c r="K887" s="10"/>
      <c r="N887" s="10"/>
      <c r="O887" s="20"/>
      <c r="P887" s="20"/>
      <c r="R887" s="20"/>
      <c r="S887" s="10"/>
    </row>
    <row r="888" spans="3:19" s="19" customFormat="1" x14ac:dyDescent="0.2">
      <c r="C888" s="29"/>
      <c r="E888" s="10"/>
      <c r="H888" s="10"/>
      <c r="K888" s="10"/>
      <c r="N888" s="10"/>
      <c r="O888" s="20"/>
      <c r="P888" s="20"/>
      <c r="R888" s="20"/>
      <c r="S888" s="10"/>
    </row>
    <row r="889" spans="3:19" s="19" customFormat="1" x14ac:dyDescent="0.2">
      <c r="C889" s="29"/>
      <c r="E889" s="10"/>
      <c r="H889" s="10"/>
      <c r="K889" s="10"/>
      <c r="N889" s="10"/>
      <c r="O889" s="20"/>
      <c r="P889" s="20"/>
      <c r="R889" s="20"/>
      <c r="S889" s="10"/>
    </row>
    <row r="890" spans="3:19" s="19" customFormat="1" x14ac:dyDescent="0.2">
      <c r="C890" s="29"/>
      <c r="E890" s="10"/>
      <c r="H890" s="10"/>
      <c r="K890" s="10"/>
      <c r="N890" s="10"/>
      <c r="O890" s="20"/>
      <c r="P890" s="20"/>
      <c r="R890" s="20"/>
      <c r="S890" s="10"/>
    </row>
    <row r="891" spans="3:19" s="19" customFormat="1" x14ac:dyDescent="0.2">
      <c r="C891" s="29"/>
      <c r="E891" s="10"/>
      <c r="H891" s="10"/>
      <c r="K891" s="10"/>
      <c r="N891" s="10"/>
      <c r="O891" s="20"/>
      <c r="P891" s="20"/>
      <c r="R891" s="20"/>
      <c r="S891" s="10"/>
    </row>
    <row r="892" spans="3:19" s="19" customFormat="1" x14ac:dyDescent="0.2">
      <c r="C892" s="29"/>
      <c r="E892" s="10"/>
      <c r="H892" s="10"/>
      <c r="K892" s="10"/>
      <c r="N892" s="10"/>
      <c r="O892" s="20"/>
      <c r="P892" s="20"/>
      <c r="R892" s="20"/>
      <c r="S892" s="10"/>
    </row>
    <row r="893" spans="3:19" s="19" customFormat="1" x14ac:dyDescent="0.2">
      <c r="C893" s="29"/>
      <c r="E893" s="10"/>
      <c r="H893" s="10"/>
      <c r="K893" s="10"/>
      <c r="N893" s="10"/>
      <c r="O893" s="20"/>
      <c r="P893" s="20"/>
      <c r="R893" s="20"/>
      <c r="S893" s="10"/>
    </row>
    <row r="894" spans="3:19" s="19" customFormat="1" x14ac:dyDescent="0.2">
      <c r="C894" s="29"/>
      <c r="E894" s="10"/>
      <c r="H894" s="10"/>
      <c r="K894" s="10"/>
      <c r="N894" s="10"/>
      <c r="O894" s="20"/>
      <c r="P894" s="20"/>
      <c r="R894" s="20"/>
      <c r="S894" s="10"/>
    </row>
    <row r="895" spans="3:19" s="19" customFormat="1" x14ac:dyDescent="0.2">
      <c r="C895" s="29"/>
      <c r="E895" s="10"/>
      <c r="H895" s="10"/>
      <c r="K895" s="10"/>
      <c r="N895" s="10"/>
      <c r="O895" s="20"/>
      <c r="P895" s="20"/>
      <c r="R895" s="20"/>
      <c r="S895" s="10"/>
    </row>
    <row r="896" spans="3:19" s="19" customFormat="1" x14ac:dyDescent="0.2">
      <c r="C896" s="29"/>
      <c r="E896" s="10"/>
      <c r="H896" s="10"/>
      <c r="K896" s="10"/>
      <c r="N896" s="10"/>
      <c r="O896" s="20"/>
      <c r="P896" s="20"/>
      <c r="R896" s="20"/>
      <c r="S896" s="10"/>
    </row>
    <row r="897" spans="3:19" s="19" customFormat="1" x14ac:dyDescent="0.2">
      <c r="C897" s="29"/>
      <c r="E897" s="10"/>
      <c r="H897" s="10"/>
      <c r="K897" s="10"/>
      <c r="N897" s="10"/>
      <c r="O897" s="20"/>
      <c r="P897" s="20"/>
      <c r="R897" s="20"/>
      <c r="S897" s="10"/>
    </row>
    <row r="898" spans="3:19" s="19" customFormat="1" x14ac:dyDescent="0.2">
      <c r="C898" s="29"/>
      <c r="E898" s="10"/>
      <c r="H898" s="10"/>
      <c r="K898" s="10"/>
      <c r="N898" s="10"/>
      <c r="O898" s="20"/>
      <c r="P898" s="20"/>
      <c r="R898" s="20"/>
      <c r="S898" s="10"/>
    </row>
    <row r="899" spans="3:19" s="19" customFormat="1" x14ac:dyDescent="0.2">
      <c r="C899" s="29"/>
      <c r="E899" s="10"/>
      <c r="H899" s="10"/>
      <c r="K899" s="10"/>
      <c r="N899" s="10"/>
      <c r="O899" s="20"/>
      <c r="P899" s="20"/>
      <c r="R899" s="20"/>
      <c r="S899" s="10"/>
    </row>
    <row r="900" spans="3:19" s="19" customFormat="1" x14ac:dyDescent="0.2">
      <c r="C900" s="29"/>
      <c r="E900" s="10"/>
      <c r="H900" s="10"/>
      <c r="K900" s="10"/>
      <c r="N900" s="10"/>
      <c r="O900" s="20"/>
      <c r="P900" s="20"/>
      <c r="R900" s="20"/>
      <c r="S900" s="10"/>
    </row>
    <row r="901" spans="3:19" s="19" customFormat="1" x14ac:dyDescent="0.2">
      <c r="C901" s="29"/>
      <c r="E901" s="10"/>
      <c r="H901" s="10"/>
      <c r="K901" s="10"/>
      <c r="N901" s="10"/>
      <c r="O901" s="20"/>
      <c r="P901" s="20"/>
      <c r="R901" s="20"/>
      <c r="S901" s="10"/>
    </row>
    <row r="902" spans="3:19" s="19" customFormat="1" x14ac:dyDescent="0.2">
      <c r="C902" s="29"/>
      <c r="E902" s="10"/>
      <c r="H902" s="10"/>
      <c r="K902" s="10"/>
      <c r="N902" s="10"/>
      <c r="O902" s="20"/>
      <c r="P902" s="20"/>
      <c r="R902" s="20"/>
      <c r="S902" s="10"/>
    </row>
    <row r="903" spans="3:19" s="19" customFormat="1" x14ac:dyDescent="0.2">
      <c r="C903" s="29"/>
      <c r="E903" s="10"/>
      <c r="H903" s="10"/>
      <c r="K903" s="10"/>
      <c r="N903" s="10"/>
      <c r="O903" s="20"/>
      <c r="P903" s="20"/>
      <c r="R903" s="20"/>
      <c r="S903" s="10"/>
    </row>
    <row r="904" spans="3:19" s="19" customFormat="1" x14ac:dyDescent="0.2">
      <c r="C904" s="29"/>
      <c r="E904" s="10"/>
      <c r="H904" s="10"/>
      <c r="K904" s="10"/>
      <c r="N904" s="10"/>
      <c r="O904" s="20"/>
      <c r="P904" s="20"/>
      <c r="R904" s="20"/>
      <c r="S904" s="10"/>
    </row>
    <row r="905" spans="3:19" s="19" customFormat="1" x14ac:dyDescent="0.2">
      <c r="C905" s="29"/>
      <c r="E905" s="10"/>
      <c r="H905" s="10"/>
      <c r="K905" s="10"/>
      <c r="N905" s="10"/>
      <c r="O905" s="20"/>
      <c r="P905" s="20"/>
      <c r="R905" s="20"/>
      <c r="S905" s="10"/>
    </row>
    <row r="906" spans="3:19" s="19" customFormat="1" x14ac:dyDescent="0.2">
      <c r="C906" s="29"/>
      <c r="E906" s="10"/>
      <c r="H906" s="10"/>
      <c r="K906" s="10"/>
      <c r="N906" s="10"/>
      <c r="O906" s="20"/>
      <c r="P906" s="20"/>
      <c r="R906" s="20"/>
      <c r="S906" s="10"/>
    </row>
    <row r="907" spans="3:19" s="19" customFormat="1" x14ac:dyDescent="0.2">
      <c r="C907" s="29"/>
      <c r="E907" s="10"/>
      <c r="H907" s="10"/>
      <c r="K907" s="10"/>
      <c r="N907" s="10"/>
      <c r="O907" s="20"/>
      <c r="P907" s="20"/>
      <c r="R907" s="20"/>
      <c r="S907" s="10"/>
    </row>
    <row r="908" spans="3:19" s="19" customFormat="1" x14ac:dyDescent="0.2">
      <c r="C908" s="29"/>
      <c r="E908" s="10"/>
      <c r="H908" s="10"/>
      <c r="K908" s="10"/>
      <c r="N908" s="10"/>
      <c r="O908" s="20"/>
      <c r="P908" s="20"/>
      <c r="R908" s="20"/>
      <c r="S908" s="10"/>
    </row>
    <row r="909" spans="3:19" s="19" customFormat="1" x14ac:dyDescent="0.2">
      <c r="C909" s="29"/>
      <c r="E909" s="10"/>
      <c r="H909" s="10"/>
      <c r="K909" s="10"/>
      <c r="N909" s="10"/>
      <c r="O909" s="20"/>
      <c r="P909" s="20"/>
      <c r="R909" s="20"/>
      <c r="S909" s="10"/>
    </row>
    <row r="910" spans="3:19" s="19" customFormat="1" x14ac:dyDescent="0.2">
      <c r="C910" s="29"/>
      <c r="E910" s="10"/>
      <c r="H910" s="10"/>
      <c r="K910" s="10"/>
      <c r="N910" s="10"/>
      <c r="O910" s="20"/>
      <c r="P910" s="20"/>
      <c r="R910" s="20"/>
      <c r="S910" s="10"/>
    </row>
    <row r="911" spans="3:19" s="19" customFormat="1" x14ac:dyDescent="0.2">
      <c r="C911" s="29"/>
      <c r="E911" s="10"/>
      <c r="H911" s="10"/>
      <c r="K911" s="10"/>
      <c r="N911" s="10"/>
      <c r="O911" s="20"/>
      <c r="P911" s="20"/>
      <c r="R911" s="20"/>
      <c r="S911" s="10"/>
    </row>
    <row r="912" spans="3:19" s="19" customFormat="1" x14ac:dyDescent="0.2">
      <c r="C912" s="29"/>
      <c r="E912" s="10"/>
      <c r="H912" s="10"/>
      <c r="K912" s="10"/>
      <c r="N912" s="10"/>
      <c r="O912" s="20"/>
      <c r="P912" s="20"/>
      <c r="R912" s="20"/>
      <c r="S912" s="10"/>
    </row>
    <row r="913" spans="3:19" s="19" customFormat="1" x14ac:dyDescent="0.2">
      <c r="C913" s="29"/>
      <c r="E913" s="10"/>
      <c r="H913" s="10"/>
      <c r="K913" s="10"/>
      <c r="N913" s="10"/>
      <c r="O913" s="20"/>
      <c r="P913" s="20"/>
      <c r="R913" s="20"/>
      <c r="S913" s="10"/>
    </row>
    <row r="914" spans="3:19" s="19" customFormat="1" x14ac:dyDescent="0.2">
      <c r="C914" s="29"/>
      <c r="E914" s="10"/>
      <c r="H914" s="10"/>
      <c r="K914" s="10"/>
      <c r="N914" s="10"/>
      <c r="O914" s="20"/>
      <c r="P914" s="20"/>
      <c r="R914" s="20"/>
      <c r="S914" s="10"/>
    </row>
    <row r="915" spans="3:19" s="19" customFormat="1" x14ac:dyDescent="0.2">
      <c r="C915" s="29"/>
      <c r="E915" s="10"/>
      <c r="H915" s="10"/>
      <c r="K915" s="10"/>
      <c r="N915" s="10"/>
      <c r="O915" s="20"/>
      <c r="P915" s="20"/>
      <c r="R915" s="20"/>
      <c r="S915" s="10"/>
    </row>
    <row r="916" spans="3:19" s="19" customFormat="1" x14ac:dyDescent="0.2">
      <c r="C916" s="29"/>
      <c r="E916" s="10"/>
      <c r="H916" s="10"/>
      <c r="K916" s="10"/>
      <c r="N916" s="10"/>
      <c r="O916" s="20"/>
      <c r="P916" s="20"/>
      <c r="R916" s="20"/>
      <c r="S916" s="10"/>
    </row>
    <row r="917" spans="3:19" s="19" customFormat="1" x14ac:dyDescent="0.2">
      <c r="C917" s="29"/>
      <c r="E917" s="10"/>
      <c r="H917" s="10"/>
      <c r="K917" s="10"/>
      <c r="N917" s="10"/>
      <c r="O917" s="20"/>
      <c r="P917" s="20"/>
      <c r="R917" s="20"/>
      <c r="S917" s="10"/>
    </row>
    <row r="918" spans="3:19" s="19" customFormat="1" x14ac:dyDescent="0.2">
      <c r="C918" s="29"/>
      <c r="E918" s="10"/>
      <c r="H918" s="10"/>
      <c r="K918" s="10"/>
      <c r="N918" s="10"/>
      <c r="O918" s="20"/>
      <c r="P918" s="20"/>
      <c r="R918" s="20"/>
      <c r="S918" s="10"/>
    </row>
    <row r="919" spans="3:19" s="19" customFormat="1" x14ac:dyDescent="0.2">
      <c r="C919" s="29"/>
      <c r="E919" s="10"/>
      <c r="H919" s="10"/>
      <c r="K919" s="10"/>
      <c r="N919" s="10"/>
      <c r="O919" s="20"/>
      <c r="P919" s="20"/>
      <c r="R919" s="20"/>
      <c r="S919" s="10"/>
    </row>
    <row r="920" spans="3:19" s="19" customFormat="1" x14ac:dyDescent="0.2">
      <c r="C920" s="29"/>
      <c r="E920" s="10"/>
      <c r="H920" s="10"/>
      <c r="K920" s="10"/>
      <c r="N920" s="10"/>
      <c r="O920" s="20"/>
      <c r="P920" s="20"/>
      <c r="R920" s="20"/>
      <c r="S920" s="10"/>
    </row>
    <row r="921" spans="3:19" s="19" customFormat="1" x14ac:dyDescent="0.2">
      <c r="C921" s="29"/>
      <c r="E921" s="10"/>
      <c r="H921" s="10"/>
      <c r="K921" s="10"/>
      <c r="N921" s="10"/>
      <c r="O921" s="20"/>
      <c r="P921" s="20"/>
      <c r="R921" s="20"/>
      <c r="S921" s="10"/>
    </row>
    <row r="922" spans="3:19" s="19" customFormat="1" x14ac:dyDescent="0.2">
      <c r="C922" s="29"/>
      <c r="E922" s="10"/>
      <c r="H922" s="10"/>
      <c r="K922" s="10"/>
      <c r="N922" s="10"/>
      <c r="O922" s="20"/>
      <c r="P922" s="20"/>
      <c r="R922" s="20"/>
      <c r="S922" s="10"/>
    </row>
    <row r="923" spans="3:19" s="19" customFormat="1" x14ac:dyDescent="0.2">
      <c r="C923" s="29"/>
      <c r="E923" s="10"/>
      <c r="H923" s="10"/>
      <c r="K923" s="10"/>
      <c r="N923" s="10"/>
      <c r="O923" s="20"/>
      <c r="P923" s="20"/>
      <c r="R923" s="20"/>
      <c r="S923" s="10"/>
    </row>
    <row r="924" spans="3:19" s="19" customFormat="1" x14ac:dyDescent="0.2">
      <c r="C924" s="29"/>
      <c r="E924" s="10"/>
      <c r="H924" s="10"/>
      <c r="K924" s="10"/>
      <c r="N924" s="10"/>
      <c r="O924" s="20"/>
      <c r="P924" s="20"/>
      <c r="R924" s="20"/>
      <c r="S924" s="10"/>
    </row>
    <row r="925" spans="3:19" s="19" customFormat="1" x14ac:dyDescent="0.2">
      <c r="C925" s="29"/>
      <c r="E925" s="10"/>
      <c r="H925" s="10"/>
      <c r="K925" s="10"/>
      <c r="N925" s="10"/>
      <c r="O925" s="20"/>
      <c r="P925" s="20"/>
      <c r="R925" s="20"/>
      <c r="S925" s="10"/>
    </row>
    <row r="926" spans="3:19" s="19" customFormat="1" x14ac:dyDescent="0.2">
      <c r="C926" s="29"/>
      <c r="E926" s="10"/>
      <c r="H926" s="10"/>
      <c r="K926" s="10"/>
      <c r="N926" s="10"/>
      <c r="O926" s="20"/>
      <c r="P926" s="20"/>
      <c r="R926" s="20"/>
      <c r="S926" s="10"/>
    </row>
    <row r="927" spans="3:19" s="19" customFormat="1" x14ac:dyDescent="0.2">
      <c r="C927" s="29"/>
      <c r="E927" s="10"/>
      <c r="H927" s="10"/>
      <c r="K927" s="10"/>
      <c r="N927" s="10"/>
      <c r="O927" s="20"/>
      <c r="P927" s="20"/>
      <c r="R927" s="20"/>
      <c r="S927" s="10"/>
    </row>
    <row r="928" spans="3:19" s="19" customFormat="1" x14ac:dyDescent="0.2">
      <c r="C928" s="29"/>
      <c r="E928" s="10"/>
      <c r="H928" s="10"/>
      <c r="K928" s="10"/>
      <c r="N928" s="10"/>
      <c r="O928" s="20"/>
      <c r="P928" s="20"/>
      <c r="R928" s="20"/>
      <c r="S928" s="10"/>
    </row>
    <row r="929" spans="3:19" s="19" customFormat="1" x14ac:dyDescent="0.2">
      <c r="C929" s="29"/>
      <c r="E929" s="10"/>
      <c r="H929" s="10"/>
      <c r="K929" s="10"/>
      <c r="N929" s="10"/>
      <c r="O929" s="20"/>
      <c r="P929" s="20"/>
      <c r="R929" s="20"/>
      <c r="S929" s="10"/>
    </row>
    <row r="930" spans="3:19" s="19" customFormat="1" x14ac:dyDescent="0.2">
      <c r="C930" s="29"/>
      <c r="E930" s="10"/>
      <c r="H930" s="10"/>
      <c r="K930" s="10"/>
      <c r="N930" s="10"/>
      <c r="O930" s="20"/>
      <c r="P930" s="20"/>
      <c r="R930" s="20"/>
      <c r="S930" s="10"/>
    </row>
    <row r="931" spans="3:19" s="19" customFormat="1" x14ac:dyDescent="0.2">
      <c r="C931" s="29"/>
      <c r="E931" s="10"/>
      <c r="H931" s="10"/>
      <c r="K931" s="10"/>
      <c r="N931" s="10"/>
      <c r="O931" s="20"/>
      <c r="P931" s="20"/>
      <c r="R931" s="20"/>
      <c r="S931" s="10"/>
    </row>
    <row r="932" spans="3:19" s="19" customFormat="1" x14ac:dyDescent="0.2">
      <c r="C932" s="29"/>
      <c r="E932" s="10"/>
      <c r="H932" s="10"/>
      <c r="K932" s="10"/>
      <c r="N932" s="10"/>
      <c r="O932" s="20"/>
      <c r="P932" s="20"/>
      <c r="R932" s="20"/>
      <c r="S932" s="10"/>
    </row>
    <row r="933" spans="3:19" s="19" customFormat="1" x14ac:dyDescent="0.2">
      <c r="C933" s="29"/>
      <c r="E933" s="10"/>
      <c r="H933" s="10"/>
      <c r="K933" s="10"/>
      <c r="N933" s="10"/>
      <c r="O933" s="20"/>
      <c r="P933" s="20"/>
      <c r="R933" s="20"/>
      <c r="S933" s="10"/>
    </row>
    <row r="934" spans="3:19" s="19" customFormat="1" x14ac:dyDescent="0.2">
      <c r="C934" s="29"/>
      <c r="E934" s="10"/>
      <c r="H934" s="10"/>
      <c r="K934" s="10"/>
      <c r="N934" s="10"/>
      <c r="O934" s="20"/>
      <c r="P934" s="20"/>
      <c r="R934" s="20"/>
      <c r="S934" s="10"/>
    </row>
    <row r="935" spans="3:19" s="19" customFormat="1" x14ac:dyDescent="0.2">
      <c r="C935" s="29"/>
      <c r="E935" s="10"/>
      <c r="H935" s="10"/>
      <c r="K935" s="10"/>
      <c r="N935" s="10"/>
      <c r="O935" s="20"/>
      <c r="P935" s="20"/>
      <c r="R935" s="20"/>
      <c r="S935" s="10"/>
    </row>
    <row r="936" spans="3:19" s="19" customFormat="1" x14ac:dyDescent="0.2">
      <c r="C936" s="29"/>
      <c r="E936" s="10"/>
      <c r="H936" s="10"/>
      <c r="K936" s="10"/>
      <c r="N936" s="10"/>
      <c r="O936" s="20"/>
      <c r="P936" s="20"/>
      <c r="R936" s="20"/>
      <c r="S936" s="10"/>
    </row>
    <row r="937" spans="3:19" s="19" customFormat="1" x14ac:dyDescent="0.2">
      <c r="C937" s="29"/>
      <c r="E937" s="10"/>
      <c r="H937" s="10"/>
      <c r="K937" s="10"/>
      <c r="N937" s="10"/>
      <c r="O937" s="20"/>
      <c r="P937" s="20"/>
      <c r="R937" s="20"/>
      <c r="S937" s="10"/>
    </row>
    <row r="938" spans="3:19" s="19" customFormat="1" x14ac:dyDescent="0.2">
      <c r="C938" s="29"/>
      <c r="E938" s="10"/>
      <c r="H938" s="10"/>
      <c r="K938" s="10"/>
      <c r="N938" s="10"/>
      <c r="O938" s="20"/>
      <c r="P938" s="20"/>
      <c r="R938" s="20"/>
      <c r="S938" s="10"/>
    </row>
    <row r="939" spans="3:19" s="19" customFormat="1" x14ac:dyDescent="0.2">
      <c r="C939" s="29"/>
      <c r="E939" s="10"/>
      <c r="H939" s="10"/>
      <c r="K939" s="10"/>
      <c r="N939" s="10"/>
      <c r="O939" s="20"/>
      <c r="P939" s="20"/>
      <c r="R939" s="20"/>
      <c r="S939" s="10"/>
    </row>
    <row r="940" spans="3:19" s="19" customFormat="1" x14ac:dyDescent="0.2">
      <c r="C940" s="29"/>
      <c r="E940" s="10"/>
      <c r="H940" s="10"/>
      <c r="K940" s="10"/>
      <c r="N940" s="10"/>
      <c r="O940" s="20"/>
      <c r="P940" s="20"/>
      <c r="R940" s="20"/>
      <c r="S940" s="10"/>
    </row>
    <row r="941" spans="3:19" s="19" customFormat="1" x14ac:dyDescent="0.2">
      <c r="C941" s="29"/>
      <c r="E941" s="10"/>
      <c r="H941" s="10"/>
      <c r="K941" s="10"/>
      <c r="N941" s="10"/>
      <c r="O941" s="20"/>
      <c r="P941" s="20"/>
      <c r="R941" s="20"/>
      <c r="S941" s="10"/>
    </row>
    <row r="942" spans="3:19" s="19" customFormat="1" x14ac:dyDescent="0.2">
      <c r="C942" s="29"/>
      <c r="E942" s="10"/>
      <c r="H942" s="10"/>
      <c r="K942" s="10"/>
      <c r="N942" s="10"/>
      <c r="O942" s="20"/>
      <c r="P942" s="20"/>
      <c r="R942" s="20"/>
      <c r="S942" s="10"/>
    </row>
    <row r="943" spans="3:19" s="19" customFormat="1" x14ac:dyDescent="0.2">
      <c r="C943" s="29"/>
      <c r="E943" s="10"/>
      <c r="H943" s="10"/>
      <c r="K943" s="10"/>
      <c r="N943" s="10"/>
      <c r="O943" s="20"/>
      <c r="P943" s="20"/>
      <c r="R943" s="20"/>
      <c r="S943" s="10"/>
    </row>
    <row r="944" spans="3:19" s="19" customFormat="1" x14ac:dyDescent="0.2">
      <c r="C944" s="29"/>
      <c r="E944" s="10"/>
      <c r="H944" s="10"/>
      <c r="K944" s="10"/>
      <c r="N944" s="10"/>
      <c r="O944" s="20"/>
      <c r="P944" s="20"/>
      <c r="R944" s="20"/>
      <c r="S944" s="10"/>
    </row>
    <row r="945" spans="3:19" s="19" customFormat="1" x14ac:dyDescent="0.2">
      <c r="C945" s="29"/>
      <c r="E945" s="10"/>
      <c r="H945" s="10"/>
      <c r="K945" s="10"/>
      <c r="N945" s="10"/>
      <c r="O945" s="20"/>
      <c r="P945" s="20"/>
      <c r="R945" s="20"/>
      <c r="S945" s="10"/>
    </row>
    <row r="946" spans="3:19" s="19" customFormat="1" x14ac:dyDescent="0.2">
      <c r="C946" s="29"/>
      <c r="E946" s="10"/>
      <c r="H946" s="10"/>
      <c r="K946" s="10"/>
      <c r="N946" s="10"/>
      <c r="O946" s="20"/>
      <c r="P946" s="20"/>
      <c r="R946" s="20"/>
      <c r="S946" s="10"/>
    </row>
    <row r="947" spans="3:19" s="19" customFormat="1" x14ac:dyDescent="0.2">
      <c r="C947" s="29"/>
      <c r="E947" s="10"/>
      <c r="H947" s="10"/>
      <c r="K947" s="10"/>
      <c r="N947" s="10"/>
      <c r="O947" s="20"/>
      <c r="P947" s="20"/>
      <c r="R947" s="20"/>
      <c r="S947" s="10"/>
    </row>
    <row r="948" spans="3:19" s="19" customFormat="1" x14ac:dyDescent="0.2">
      <c r="C948" s="29"/>
      <c r="E948" s="10"/>
      <c r="H948" s="10"/>
      <c r="K948" s="10"/>
      <c r="N948" s="10"/>
      <c r="O948" s="20"/>
      <c r="P948" s="20"/>
      <c r="R948" s="20"/>
      <c r="S948" s="10"/>
    </row>
    <row r="949" spans="3:19" s="19" customFormat="1" x14ac:dyDescent="0.2">
      <c r="C949" s="29"/>
      <c r="E949" s="10"/>
      <c r="H949" s="10"/>
      <c r="K949" s="10"/>
      <c r="N949" s="10"/>
      <c r="O949" s="20"/>
      <c r="P949" s="20"/>
      <c r="R949" s="20"/>
      <c r="S949" s="10"/>
    </row>
    <row r="950" spans="3:19" s="19" customFormat="1" x14ac:dyDescent="0.2">
      <c r="C950" s="29"/>
      <c r="E950" s="10"/>
      <c r="H950" s="10"/>
      <c r="K950" s="10"/>
      <c r="N950" s="10"/>
      <c r="O950" s="20"/>
      <c r="P950" s="20"/>
      <c r="R950" s="20"/>
      <c r="S950" s="10"/>
    </row>
    <row r="951" spans="3:19" s="19" customFormat="1" x14ac:dyDescent="0.2">
      <c r="C951" s="29"/>
      <c r="E951" s="10"/>
      <c r="H951" s="10"/>
      <c r="K951" s="10"/>
      <c r="N951" s="10"/>
      <c r="O951" s="20"/>
      <c r="P951" s="20"/>
      <c r="R951" s="20"/>
      <c r="S951" s="10"/>
    </row>
    <row r="952" spans="3:19" s="19" customFormat="1" x14ac:dyDescent="0.2">
      <c r="C952" s="29"/>
      <c r="E952" s="10"/>
      <c r="H952" s="10"/>
      <c r="K952" s="10"/>
      <c r="N952" s="10"/>
      <c r="O952" s="20"/>
      <c r="P952" s="20"/>
      <c r="R952" s="20"/>
      <c r="S952" s="10"/>
    </row>
    <row r="953" spans="3:19" s="19" customFormat="1" x14ac:dyDescent="0.2">
      <c r="C953" s="29"/>
      <c r="E953" s="10"/>
      <c r="H953" s="10"/>
      <c r="K953" s="10"/>
      <c r="N953" s="10"/>
      <c r="O953" s="20"/>
      <c r="P953" s="20"/>
      <c r="R953" s="20"/>
      <c r="S953" s="10"/>
    </row>
    <row r="954" spans="3:19" s="19" customFormat="1" x14ac:dyDescent="0.2">
      <c r="C954" s="29"/>
      <c r="E954" s="10"/>
      <c r="H954" s="10"/>
      <c r="K954" s="10"/>
      <c r="N954" s="10"/>
      <c r="O954" s="20"/>
      <c r="P954" s="20"/>
      <c r="R954" s="20"/>
      <c r="S954" s="10"/>
    </row>
    <row r="955" spans="3:19" s="19" customFormat="1" x14ac:dyDescent="0.2">
      <c r="C955" s="29"/>
      <c r="E955" s="10"/>
      <c r="H955" s="10"/>
      <c r="K955" s="10"/>
      <c r="N955" s="10"/>
      <c r="O955" s="20"/>
      <c r="P955" s="20"/>
      <c r="R955" s="20"/>
      <c r="S955" s="10"/>
    </row>
    <row r="956" spans="3:19" s="19" customFormat="1" x14ac:dyDescent="0.2">
      <c r="C956" s="29"/>
      <c r="E956" s="10"/>
      <c r="H956" s="10"/>
      <c r="K956" s="10"/>
      <c r="N956" s="10"/>
      <c r="O956" s="20"/>
      <c r="P956" s="20"/>
      <c r="R956" s="20"/>
      <c r="S956" s="10"/>
    </row>
    <row r="957" spans="3:19" s="19" customFormat="1" x14ac:dyDescent="0.2">
      <c r="C957" s="29"/>
      <c r="E957" s="10"/>
      <c r="H957" s="10"/>
      <c r="K957" s="10"/>
      <c r="N957" s="10"/>
      <c r="O957" s="20"/>
      <c r="P957" s="20"/>
      <c r="R957" s="20"/>
      <c r="S957" s="10"/>
    </row>
    <row r="958" spans="3:19" s="19" customFormat="1" x14ac:dyDescent="0.2">
      <c r="C958" s="29"/>
      <c r="E958" s="10"/>
      <c r="H958" s="10"/>
      <c r="K958" s="10"/>
      <c r="N958" s="10"/>
      <c r="O958" s="20"/>
      <c r="P958" s="20"/>
      <c r="R958" s="20"/>
      <c r="S958" s="10"/>
    </row>
    <row r="959" spans="3:19" s="19" customFormat="1" x14ac:dyDescent="0.2">
      <c r="C959" s="29"/>
      <c r="E959" s="10"/>
      <c r="H959" s="10"/>
      <c r="K959" s="10"/>
      <c r="N959" s="10"/>
      <c r="O959" s="20"/>
      <c r="P959" s="20"/>
      <c r="R959" s="20"/>
      <c r="S959" s="10"/>
    </row>
    <row r="960" spans="3:19" s="19" customFormat="1" x14ac:dyDescent="0.2">
      <c r="C960" s="29"/>
      <c r="E960" s="10"/>
      <c r="H960" s="10"/>
      <c r="K960" s="10"/>
      <c r="N960" s="10"/>
      <c r="O960" s="20"/>
      <c r="P960" s="20"/>
      <c r="R960" s="20"/>
      <c r="S960" s="10"/>
    </row>
    <row r="961" spans="3:19" s="19" customFormat="1" x14ac:dyDescent="0.2">
      <c r="C961" s="29"/>
      <c r="E961" s="10"/>
      <c r="H961" s="10"/>
      <c r="K961" s="10"/>
      <c r="N961" s="10"/>
      <c r="O961" s="20"/>
      <c r="P961" s="20"/>
      <c r="R961" s="20"/>
      <c r="S961" s="10"/>
    </row>
    <row r="962" spans="3:19" s="19" customFormat="1" x14ac:dyDescent="0.2">
      <c r="C962" s="29"/>
      <c r="E962" s="10"/>
      <c r="H962" s="10"/>
      <c r="K962" s="10"/>
      <c r="N962" s="10"/>
      <c r="O962" s="20"/>
      <c r="P962" s="20"/>
      <c r="R962" s="20"/>
      <c r="S962" s="10"/>
    </row>
    <row r="963" spans="3:19" s="19" customFormat="1" x14ac:dyDescent="0.2">
      <c r="C963" s="29"/>
      <c r="E963" s="10"/>
      <c r="H963" s="10"/>
      <c r="K963" s="10"/>
      <c r="N963" s="10"/>
      <c r="O963" s="20"/>
      <c r="P963" s="20"/>
      <c r="R963" s="20"/>
      <c r="S963" s="10"/>
    </row>
    <row r="964" spans="3:19" s="19" customFormat="1" x14ac:dyDescent="0.2">
      <c r="C964" s="29"/>
      <c r="E964" s="10"/>
      <c r="H964" s="10"/>
      <c r="K964" s="10"/>
      <c r="N964" s="10"/>
      <c r="O964" s="20"/>
      <c r="P964" s="20"/>
      <c r="R964" s="20"/>
      <c r="S964" s="10"/>
    </row>
    <row r="965" spans="3:19" s="19" customFormat="1" x14ac:dyDescent="0.2">
      <c r="C965" s="29"/>
      <c r="E965" s="10"/>
      <c r="H965" s="10"/>
      <c r="K965" s="10"/>
      <c r="N965" s="10"/>
      <c r="O965" s="20"/>
      <c r="P965" s="20"/>
      <c r="R965" s="20"/>
      <c r="S965" s="10"/>
    </row>
    <row r="966" spans="3:19" s="19" customFormat="1" x14ac:dyDescent="0.2">
      <c r="C966" s="29"/>
      <c r="E966" s="10"/>
      <c r="H966" s="10"/>
      <c r="K966" s="10"/>
      <c r="N966" s="10"/>
      <c r="O966" s="20"/>
      <c r="P966" s="20"/>
      <c r="R966" s="20"/>
      <c r="S966" s="10"/>
    </row>
    <row r="967" spans="3:19" s="19" customFormat="1" x14ac:dyDescent="0.2">
      <c r="C967" s="29"/>
      <c r="E967" s="10"/>
      <c r="H967" s="10"/>
      <c r="K967" s="10"/>
      <c r="N967" s="10"/>
      <c r="O967" s="20"/>
      <c r="P967" s="20"/>
      <c r="R967" s="20"/>
      <c r="S967" s="10"/>
    </row>
    <row r="968" spans="3:19" s="19" customFormat="1" x14ac:dyDescent="0.2">
      <c r="C968" s="29"/>
      <c r="E968" s="10"/>
      <c r="H968" s="10"/>
      <c r="K968" s="10"/>
      <c r="N968" s="10"/>
      <c r="O968" s="20"/>
      <c r="P968" s="20"/>
      <c r="R968" s="20"/>
      <c r="S968" s="10"/>
    </row>
    <row r="969" spans="3:19" s="19" customFormat="1" x14ac:dyDescent="0.2">
      <c r="C969" s="29"/>
      <c r="E969" s="10"/>
      <c r="H969" s="10"/>
      <c r="K969" s="10"/>
      <c r="N969" s="10"/>
      <c r="O969" s="20"/>
      <c r="P969" s="20"/>
      <c r="R969" s="20"/>
      <c r="S969" s="10"/>
    </row>
    <row r="970" spans="3:19" s="19" customFormat="1" x14ac:dyDescent="0.2">
      <c r="C970" s="29"/>
      <c r="E970" s="10"/>
      <c r="H970" s="10"/>
      <c r="K970" s="10"/>
      <c r="N970" s="10"/>
      <c r="O970" s="20"/>
      <c r="P970" s="20"/>
      <c r="R970" s="20"/>
      <c r="S970" s="10"/>
    </row>
    <row r="971" spans="3:19" s="19" customFormat="1" x14ac:dyDescent="0.2">
      <c r="C971" s="29"/>
      <c r="E971" s="10"/>
      <c r="H971" s="10"/>
      <c r="K971" s="10"/>
      <c r="N971" s="10"/>
      <c r="O971" s="20"/>
      <c r="P971" s="20"/>
      <c r="R971" s="20"/>
      <c r="S971" s="10"/>
    </row>
    <row r="972" spans="3:19" s="19" customFormat="1" x14ac:dyDescent="0.2">
      <c r="C972" s="29"/>
      <c r="E972" s="10"/>
      <c r="H972" s="10"/>
      <c r="K972" s="10"/>
      <c r="N972" s="10"/>
      <c r="O972" s="20"/>
      <c r="P972" s="20"/>
      <c r="R972" s="20"/>
      <c r="S972" s="10"/>
    </row>
    <row r="973" spans="3:19" s="19" customFormat="1" x14ac:dyDescent="0.2">
      <c r="C973" s="29"/>
      <c r="E973" s="10"/>
      <c r="H973" s="10"/>
      <c r="K973" s="10"/>
      <c r="N973" s="10"/>
      <c r="O973" s="20"/>
      <c r="P973" s="20"/>
      <c r="R973" s="20"/>
      <c r="S973" s="10"/>
    </row>
    <row r="974" spans="3:19" s="19" customFormat="1" x14ac:dyDescent="0.2">
      <c r="C974" s="29"/>
      <c r="E974" s="10"/>
      <c r="H974" s="10"/>
      <c r="K974" s="10"/>
      <c r="N974" s="10"/>
      <c r="O974" s="20"/>
      <c r="P974" s="20"/>
      <c r="R974" s="20"/>
      <c r="S974" s="10"/>
    </row>
    <row r="975" spans="3:19" s="19" customFormat="1" x14ac:dyDescent="0.2">
      <c r="C975" s="29"/>
      <c r="E975" s="10"/>
      <c r="H975" s="10"/>
      <c r="K975" s="10"/>
      <c r="N975" s="10"/>
      <c r="O975" s="20"/>
      <c r="P975" s="20"/>
      <c r="R975" s="20"/>
      <c r="S975" s="10"/>
    </row>
    <row r="976" spans="3:19" s="19" customFormat="1" x14ac:dyDescent="0.2">
      <c r="C976" s="29"/>
      <c r="E976" s="10"/>
      <c r="H976" s="10"/>
      <c r="K976" s="10"/>
      <c r="N976" s="10"/>
      <c r="O976" s="20"/>
      <c r="P976" s="20"/>
      <c r="R976" s="20"/>
      <c r="S976" s="10"/>
    </row>
    <row r="977" spans="3:19" s="19" customFormat="1" x14ac:dyDescent="0.2">
      <c r="C977" s="29"/>
      <c r="E977" s="10"/>
      <c r="H977" s="10"/>
      <c r="K977" s="10"/>
      <c r="N977" s="10"/>
      <c r="O977" s="20"/>
      <c r="P977" s="20"/>
      <c r="R977" s="20"/>
      <c r="S977" s="10"/>
    </row>
    <row r="978" spans="3:19" s="19" customFormat="1" x14ac:dyDescent="0.2">
      <c r="C978" s="29"/>
      <c r="E978" s="10"/>
      <c r="H978" s="10"/>
      <c r="K978" s="10"/>
      <c r="N978" s="10"/>
      <c r="O978" s="20"/>
      <c r="P978" s="20"/>
      <c r="R978" s="20"/>
      <c r="S978" s="10"/>
    </row>
    <row r="979" spans="3:19" s="19" customFormat="1" x14ac:dyDescent="0.2">
      <c r="C979" s="29"/>
      <c r="E979" s="10"/>
      <c r="H979" s="10"/>
      <c r="K979" s="10"/>
      <c r="N979" s="10"/>
      <c r="O979" s="20"/>
      <c r="P979" s="20"/>
      <c r="R979" s="20"/>
      <c r="S979" s="10"/>
    </row>
    <row r="980" spans="3:19" s="19" customFormat="1" x14ac:dyDescent="0.2">
      <c r="C980" s="29"/>
      <c r="E980" s="10"/>
      <c r="H980" s="10"/>
      <c r="K980" s="10"/>
      <c r="N980" s="10"/>
      <c r="O980" s="20"/>
      <c r="P980" s="20"/>
      <c r="R980" s="20"/>
      <c r="S980" s="10"/>
    </row>
    <row r="981" spans="3:19" s="19" customFormat="1" x14ac:dyDescent="0.2">
      <c r="C981" s="29"/>
      <c r="E981" s="10"/>
      <c r="H981" s="10"/>
      <c r="K981" s="10"/>
      <c r="N981" s="10"/>
      <c r="O981" s="20"/>
      <c r="P981" s="20"/>
      <c r="R981" s="20"/>
      <c r="S981" s="10"/>
    </row>
    <row r="982" spans="3:19" s="19" customFormat="1" x14ac:dyDescent="0.2">
      <c r="C982" s="29"/>
      <c r="E982" s="10"/>
      <c r="H982" s="10"/>
      <c r="K982" s="10"/>
      <c r="N982" s="10"/>
      <c r="O982" s="20"/>
      <c r="P982" s="20"/>
      <c r="R982" s="20"/>
      <c r="S982" s="10"/>
    </row>
    <row r="983" spans="3:19" s="19" customFormat="1" x14ac:dyDescent="0.2">
      <c r="C983" s="29"/>
      <c r="E983" s="10"/>
      <c r="H983" s="10"/>
      <c r="K983" s="10"/>
      <c r="N983" s="10"/>
      <c r="O983" s="20"/>
      <c r="P983" s="20"/>
      <c r="R983" s="20"/>
      <c r="S983" s="10"/>
    </row>
    <row r="984" spans="3:19" s="19" customFormat="1" x14ac:dyDescent="0.2">
      <c r="C984" s="29"/>
      <c r="E984" s="10"/>
      <c r="H984" s="10"/>
      <c r="K984" s="10"/>
      <c r="N984" s="10"/>
      <c r="O984" s="20"/>
      <c r="P984" s="20"/>
      <c r="R984" s="20"/>
      <c r="S984" s="10"/>
    </row>
    <row r="985" spans="3:19" s="19" customFormat="1" x14ac:dyDescent="0.2">
      <c r="C985" s="29"/>
      <c r="E985" s="10"/>
      <c r="H985" s="10"/>
      <c r="K985" s="10"/>
      <c r="N985" s="10"/>
      <c r="O985" s="20"/>
      <c r="P985" s="20"/>
      <c r="R985" s="20"/>
      <c r="S985" s="10"/>
    </row>
    <row r="986" spans="3:19" s="19" customFormat="1" x14ac:dyDescent="0.2">
      <c r="C986" s="29"/>
      <c r="E986" s="10"/>
      <c r="H986" s="10"/>
      <c r="K986" s="10"/>
      <c r="N986" s="10"/>
      <c r="O986" s="20"/>
      <c r="P986" s="20"/>
      <c r="R986" s="20"/>
      <c r="S986" s="10"/>
    </row>
    <row r="987" spans="3:19" s="19" customFormat="1" x14ac:dyDescent="0.2">
      <c r="C987" s="29"/>
      <c r="E987" s="10"/>
      <c r="H987" s="10"/>
      <c r="K987" s="10"/>
      <c r="N987" s="10"/>
      <c r="O987" s="20"/>
      <c r="P987" s="20"/>
      <c r="R987" s="20"/>
      <c r="S987" s="10"/>
    </row>
    <row r="988" spans="3:19" s="19" customFormat="1" x14ac:dyDescent="0.2">
      <c r="C988" s="29"/>
      <c r="E988" s="10"/>
      <c r="H988" s="10"/>
      <c r="K988" s="10"/>
      <c r="N988" s="10"/>
      <c r="O988" s="20"/>
      <c r="P988" s="20"/>
      <c r="R988" s="20"/>
      <c r="S988" s="10"/>
    </row>
    <row r="989" spans="3:19" s="19" customFormat="1" x14ac:dyDescent="0.2">
      <c r="C989" s="29"/>
      <c r="E989" s="10"/>
      <c r="H989" s="10"/>
      <c r="K989" s="10"/>
      <c r="N989" s="10"/>
      <c r="O989" s="20"/>
      <c r="P989" s="20"/>
      <c r="R989" s="20"/>
      <c r="S989" s="10"/>
    </row>
    <row r="990" spans="3:19" s="19" customFormat="1" x14ac:dyDescent="0.2">
      <c r="C990" s="29"/>
      <c r="E990" s="10"/>
      <c r="H990" s="10"/>
      <c r="K990" s="10"/>
      <c r="N990" s="10"/>
      <c r="O990" s="20"/>
      <c r="P990" s="20"/>
      <c r="R990" s="20"/>
      <c r="S990" s="10"/>
    </row>
    <row r="991" spans="3:19" s="19" customFormat="1" x14ac:dyDescent="0.2">
      <c r="C991" s="29"/>
      <c r="E991" s="10"/>
      <c r="H991" s="10"/>
      <c r="K991" s="10"/>
      <c r="N991" s="10"/>
      <c r="O991" s="20"/>
      <c r="P991" s="20"/>
      <c r="R991" s="20"/>
      <c r="S991" s="10"/>
    </row>
    <row r="992" spans="3:19" s="19" customFormat="1" x14ac:dyDescent="0.2">
      <c r="C992" s="29"/>
      <c r="E992" s="10"/>
      <c r="H992" s="10"/>
      <c r="K992" s="10"/>
      <c r="N992" s="10"/>
      <c r="O992" s="20"/>
      <c r="P992" s="20"/>
      <c r="R992" s="20"/>
      <c r="S992" s="10"/>
    </row>
    <row r="993" spans="3:19" s="19" customFormat="1" x14ac:dyDescent="0.2">
      <c r="C993" s="29"/>
      <c r="E993" s="10"/>
      <c r="H993" s="10"/>
      <c r="K993" s="10"/>
      <c r="N993" s="10"/>
      <c r="O993" s="20"/>
      <c r="P993" s="20"/>
      <c r="R993" s="20"/>
      <c r="S993" s="10"/>
    </row>
    <row r="994" spans="3:19" s="19" customFormat="1" x14ac:dyDescent="0.2">
      <c r="C994" s="29"/>
      <c r="E994" s="10"/>
      <c r="H994" s="10"/>
      <c r="K994" s="10"/>
      <c r="N994" s="10"/>
      <c r="O994" s="20"/>
      <c r="P994" s="20"/>
      <c r="R994" s="20"/>
      <c r="S994" s="10"/>
    </row>
    <row r="995" spans="3:19" s="19" customFormat="1" x14ac:dyDescent="0.2">
      <c r="C995" s="29"/>
      <c r="E995" s="10"/>
      <c r="H995" s="10"/>
      <c r="K995" s="10"/>
      <c r="N995" s="10"/>
      <c r="O995" s="20"/>
      <c r="P995" s="20"/>
      <c r="R995" s="20"/>
      <c r="S995" s="10"/>
    </row>
    <row r="996" spans="3:19" s="19" customFormat="1" x14ac:dyDescent="0.2">
      <c r="C996" s="29"/>
      <c r="E996" s="10"/>
      <c r="H996" s="10"/>
      <c r="K996" s="10"/>
      <c r="N996" s="10"/>
      <c r="O996" s="20"/>
      <c r="P996" s="20"/>
      <c r="R996" s="20"/>
      <c r="S996" s="10"/>
    </row>
    <row r="997" spans="3:19" s="19" customFormat="1" x14ac:dyDescent="0.2">
      <c r="C997" s="29"/>
      <c r="E997" s="10"/>
      <c r="H997" s="10"/>
      <c r="K997" s="10"/>
      <c r="N997" s="10"/>
      <c r="O997" s="20"/>
      <c r="P997" s="20"/>
      <c r="R997" s="20"/>
      <c r="S997" s="10"/>
    </row>
    <row r="998" spans="3:19" s="19" customFormat="1" x14ac:dyDescent="0.2">
      <c r="C998" s="29"/>
      <c r="E998" s="10"/>
      <c r="H998" s="10"/>
      <c r="K998" s="10"/>
      <c r="N998" s="10"/>
      <c r="O998" s="20"/>
      <c r="P998" s="20"/>
      <c r="R998" s="20"/>
      <c r="S998" s="10"/>
    </row>
    <row r="999" spans="3:19" s="19" customFormat="1" x14ac:dyDescent="0.2">
      <c r="C999" s="29"/>
      <c r="E999" s="10"/>
      <c r="H999" s="10"/>
      <c r="K999" s="10"/>
      <c r="N999" s="10"/>
      <c r="O999" s="20"/>
      <c r="P999" s="20"/>
      <c r="R999" s="20"/>
      <c r="S999" s="10"/>
    </row>
    <row r="1000" spans="3:19" s="19" customFormat="1" x14ac:dyDescent="0.2">
      <c r="C1000" s="29"/>
      <c r="E1000" s="10"/>
      <c r="H1000" s="10"/>
      <c r="K1000" s="10"/>
      <c r="N1000" s="10"/>
      <c r="O1000" s="20"/>
      <c r="P1000" s="20"/>
      <c r="R1000" s="20"/>
      <c r="S1000" s="10"/>
    </row>
    <row r="1001" spans="3:19" s="19" customFormat="1" x14ac:dyDescent="0.2">
      <c r="C1001" s="29"/>
      <c r="E1001" s="10"/>
      <c r="H1001" s="10"/>
      <c r="K1001" s="10"/>
      <c r="N1001" s="10"/>
      <c r="O1001" s="20"/>
      <c r="P1001" s="20"/>
      <c r="R1001" s="20"/>
      <c r="S1001" s="10"/>
    </row>
    <row r="1002" spans="3:19" s="19" customFormat="1" x14ac:dyDescent="0.2">
      <c r="C1002" s="29"/>
      <c r="E1002" s="10"/>
      <c r="H1002" s="10"/>
      <c r="K1002" s="10"/>
      <c r="N1002" s="10"/>
      <c r="O1002" s="20"/>
      <c r="P1002" s="20"/>
      <c r="R1002" s="20"/>
      <c r="S1002" s="10"/>
    </row>
    <row r="1003" spans="3:19" s="19" customFormat="1" x14ac:dyDescent="0.2">
      <c r="C1003" s="29"/>
      <c r="E1003" s="10"/>
      <c r="H1003" s="10"/>
      <c r="K1003" s="10"/>
      <c r="N1003" s="10"/>
      <c r="O1003" s="20"/>
      <c r="P1003" s="20"/>
      <c r="R1003" s="20"/>
      <c r="S1003" s="10"/>
    </row>
    <row r="1004" spans="3:19" s="19" customFormat="1" x14ac:dyDescent="0.2">
      <c r="C1004" s="29"/>
      <c r="E1004" s="10"/>
      <c r="H1004" s="10"/>
      <c r="K1004" s="10"/>
      <c r="N1004" s="10"/>
      <c r="O1004" s="20"/>
      <c r="P1004" s="20"/>
      <c r="R1004" s="20"/>
      <c r="S1004" s="10"/>
    </row>
    <row r="1005" spans="3:19" s="19" customFormat="1" x14ac:dyDescent="0.2">
      <c r="C1005" s="29"/>
      <c r="E1005" s="10"/>
      <c r="H1005" s="10"/>
      <c r="K1005" s="10"/>
      <c r="N1005" s="10"/>
      <c r="O1005" s="20"/>
      <c r="P1005" s="20"/>
      <c r="R1005" s="20"/>
      <c r="S1005" s="10"/>
    </row>
    <row r="1006" spans="3:19" s="19" customFormat="1" x14ac:dyDescent="0.2">
      <c r="C1006" s="29"/>
      <c r="E1006" s="10"/>
      <c r="H1006" s="10"/>
      <c r="K1006" s="10"/>
      <c r="N1006" s="10"/>
      <c r="O1006" s="20"/>
      <c r="P1006" s="20"/>
      <c r="R1006" s="20"/>
      <c r="S1006" s="10"/>
    </row>
    <row r="1007" spans="3:19" s="19" customFormat="1" x14ac:dyDescent="0.2">
      <c r="C1007" s="29"/>
      <c r="E1007" s="10"/>
      <c r="H1007" s="10"/>
      <c r="K1007" s="10"/>
      <c r="N1007" s="10"/>
      <c r="O1007" s="20"/>
      <c r="P1007" s="20"/>
      <c r="R1007" s="20"/>
      <c r="S1007" s="10"/>
    </row>
    <row r="1008" spans="3:19" s="19" customFormat="1" x14ac:dyDescent="0.2">
      <c r="C1008" s="29"/>
      <c r="E1008" s="10"/>
      <c r="H1008" s="10"/>
      <c r="K1008" s="10"/>
      <c r="N1008" s="10"/>
      <c r="O1008" s="20"/>
      <c r="P1008" s="20"/>
      <c r="R1008" s="20"/>
      <c r="S1008" s="10"/>
    </row>
    <row r="1009" spans="3:19" s="19" customFormat="1" x14ac:dyDescent="0.2">
      <c r="C1009" s="29"/>
      <c r="E1009" s="10"/>
      <c r="H1009" s="10"/>
      <c r="K1009" s="10"/>
      <c r="N1009" s="10"/>
      <c r="O1009" s="20"/>
      <c r="P1009" s="20"/>
      <c r="R1009" s="20"/>
      <c r="S1009" s="10"/>
    </row>
    <row r="1010" spans="3:19" s="19" customFormat="1" x14ac:dyDescent="0.2">
      <c r="C1010" s="29"/>
      <c r="E1010" s="10"/>
      <c r="H1010" s="10"/>
      <c r="K1010" s="10"/>
      <c r="N1010" s="10"/>
      <c r="O1010" s="20"/>
      <c r="P1010" s="20"/>
      <c r="R1010" s="20"/>
      <c r="S1010" s="10"/>
    </row>
    <row r="1011" spans="3:19" s="19" customFormat="1" x14ac:dyDescent="0.2">
      <c r="C1011" s="29"/>
      <c r="E1011" s="10"/>
      <c r="H1011" s="10"/>
      <c r="K1011" s="10"/>
      <c r="N1011" s="10"/>
      <c r="O1011" s="20"/>
      <c r="P1011" s="20"/>
      <c r="R1011" s="20"/>
      <c r="S1011" s="10"/>
    </row>
    <row r="1012" spans="3:19" s="19" customFormat="1" x14ac:dyDescent="0.2">
      <c r="C1012" s="29"/>
      <c r="E1012" s="10"/>
      <c r="H1012" s="10"/>
      <c r="K1012" s="10"/>
      <c r="N1012" s="10"/>
      <c r="O1012" s="20"/>
      <c r="P1012" s="20"/>
      <c r="R1012" s="20"/>
      <c r="S1012" s="10"/>
    </row>
    <row r="1013" spans="3:19" s="19" customFormat="1" x14ac:dyDescent="0.2">
      <c r="C1013" s="29"/>
      <c r="E1013" s="10"/>
      <c r="H1013" s="10"/>
      <c r="K1013" s="10"/>
      <c r="N1013" s="10"/>
      <c r="O1013" s="20"/>
      <c r="P1013" s="20"/>
      <c r="R1013" s="20"/>
      <c r="S1013" s="10"/>
    </row>
    <row r="1014" spans="3:19" s="19" customFormat="1" x14ac:dyDescent="0.2">
      <c r="C1014" s="29"/>
      <c r="E1014" s="10"/>
      <c r="H1014" s="10"/>
      <c r="K1014" s="10"/>
      <c r="N1014" s="10"/>
      <c r="O1014" s="20"/>
      <c r="P1014" s="20"/>
      <c r="R1014" s="20"/>
      <c r="S1014" s="10"/>
    </row>
    <row r="1015" spans="3:19" s="19" customFormat="1" x14ac:dyDescent="0.2">
      <c r="C1015" s="29"/>
      <c r="E1015" s="10"/>
      <c r="H1015" s="10"/>
      <c r="K1015" s="10"/>
      <c r="N1015" s="10"/>
      <c r="O1015" s="20"/>
      <c r="P1015" s="20"/>
      <c r="R1015" s="20"/>
      <c r="S1015" s="10"/>
    </row>
    <row r="1016" spans="3:19" s="19" customFormat="1" x14ac:dyDescent="0.2">
      <c r="C1016" s="29"/>
      <c r="E1016" s="10"/>
      <c r="H1016" s="10"/>
      <c r="K1016" s="10"/>
      <c r="N1016" s="10"/>
      <c r="O1016" s="20"/>
      <c r="P1016" s="20"/>
      <c r="R1016" s="20"/>
      <c r="S1016" s="10"/>
    </row>
    <row r="1017" spans="3:19" s="19" customFormat="1" x14ac:dyDescent="0.2">
      <c r="C1017" s="29"/>
      <c r="E1017" s="10"/>
      <c r="H1017" s="10"/>
      <c r="K1017" s="10"/>
      <c r="N1017" s="10"/>
      <c r="O1017" s="20"/>
      <c r="P1017" s="20"/>
      <c r="R1017" s="20"/>
      <c r="S1017" s="10"/>
    </row>
    <row r="1018" spans="3:19" s="19" customFormat="1" x14ac:dyDescent="0.2">
      <c r="C1018" s="29"/>
      <c r="E1018" s="10"/>
      <c r="H1018" s="10"/>
      <c r="K1018" s="10"/>
      <c r="N1018" s="10"/>
      <c r="O1018" s="20"/>
      <c r="P1018" s="20"/>
      <c r="R1018" s="20"/>
      <c r="S1018" s="10"/>
    </row>
    <row r="1019" spans="3:19" s="19" customFormat="1" x14ac:dyDescent="0.2">
      <c r="C1019" s="29"/>
      <c r="E1019" s="10"/>
      <c r="H1019" s="10"/>
      <c r="K1019" s="10"/>
      <c r="N1019" s="10"/>
      <c r="O1019" s="20"/>
      <c r="P1019" s="20"/>
      <c r="R1019" s="20"/>
      <c r="S1019" s="10"/>
    </row>
    <row r="1020" spans="3:19" s="19" customFormat="1" x14ac:dyDescent="0.2">
      <c r="C1020" s="29"/>
      <c r="E1020" s="10"/>
      <c r="H1020" s="10"/>
      <c r="K1020" s="10"/>
      <c r="N1020" s="10"/>
      <c r="O1020" s="20"/>
      <c r="P1020" s="20"/>
      <c r="R1020" s="20"/>
      <c r="S1020" s="10"/>
    </row>
    <row r="1021" spans="3:19" s="19" customFormat="1" x14ac:dyDescent="0.2">
      <c r="C1021" s="29"/>
      <c r="E1021" s="10"/>
      <c r="H1021" s="10"/>
      <c r="K1021" s="10"/>
      <c r="N1021" s="10"/>
      <c r="O1021" s="20"/>
      <c r="P1021" s="20"/>
      <c r="R1021" s="20"/>
      <c r="S1021" s="10"/>
    </row>
    <row r="1022" spans="3:19" s="19" customFormat="1" x14ac:dyDescent="0.2">
      <c r="C1022" s="29"/>
      <c r="E1022" s="10"/>
      <c r="H1022" s="10"/>
      <c r="K1022" s="10"/>
      <c r="N1022" s="10"/>
      <c r="O1022" s="20"/>
      <c r="P1022" s="20"/>
      <c r="R1022" s="20"/>
      <c r="S1022" s="10"/>
    </row>
    <row r="1023" spans="3:19" s="19" customFormat="1" x14ac:dyDescent="0.2">
      <c r="C1023" s="29"/>
      <c r="E1023" s="10"/>
      <c r="H1023" s="10"/>
      <c r="K1023" s="10"/>
      <c r="N1023" s="10"/>
      <c r="O1023" s="20"/>
      <c r="P1023" s="20"/>
      <c r="R1023" s="20"/>
      <c r="S1023" s="10"/>
    </row>
    <row r="1024" spans="3:19" s="19" customFormat="1" x14ac:dyDescent="0.2">
      <c r="C1024" s="29"/>
      <c r="E1024" s="10"/>
      <c r="H1024" s="10"/>
      <c r="K1024" s="10"/>
      <c r="N1024" s="10"/>
      <c r="O1024" s="20"/>
      <c r="P1024" s="20"/>
      <c r="R1024" s="20"/>
      <c r="S1024" s="10"/>
    </row>
    <row r="1025" spans="3:19" s="19" customFormat="1" x14ac:dyDescent="0.2">
      <c r="C1025" s="29"/>
      <c r="E1025" s="10"/>
      <c r="H1025" s="10"/>
      <c r="K1025" s="10"/>
      <c r="N1025" s="10"/>
      <c r="O1025" s="20"/>
      <c r="P1025" s="20"/>
      <c r="R1025" s="20"/>
      <c r="S1025" s="10"/>
    </row>
    <row r="1026" spans="3:19" s="19" customFormat="1" x14ac:dyDescent="0.2">
      <c r="C1026" s="29"/>
      <c r="E1026" s="10"/>
      <c r="H1026" s="10"/>
      <c r="K1026" s="10"/>
      <c r="N1026" s="10"/>
      <c r="O1026" s="20"/>
      <c r="P1026" s="20"/>
      <c r="R1026" s="20"/>
      <c r="S1026" s="10"/>
    </row>
    <row r="1027" spans="3:19" s="19" customFormat="1" x14ac:dyDescent="0.2">
      <c r="C1027" s="29"/>
      <c r="E1027" s="10"/>
      <c r="H1027" s="10"/>
      <c r="K1027" s="10"/>
      <c r="N1027" s="10"/>
      <c r="O1027" s="20"/>
      <c r="P1027" s="20"/>
      <c r="R1027" s="20"/>
      <c r="S1027" s="10"/>
    </row>
    <row r="1028" spans="3:19" s="19" customFormat="1" x14ac:dyDescent="0.2">
      <c r="C1028" s="29"/>
      <c r="E1028" s="10"/>
      <c r="H1028" s="10"/>
      <c r="K1028" s="10"/>
      <c r="N1028" s="10"/>
      <c r="O1028" s="20"/>
      <c r="P1028" s="20"/>
      <c r="R1028" s="20"/>
      <c r="S1028" s="10"/>
    </row>
    <row r="1029" spans="3:19" s="19" customFormat="1" x14ac:dyDescent="0.2">
      <c r="C1029" s="29"/>
      <c r="E1029" s="10"/>
      <c r="H1029" s="10"/>
      <c r="K1029" s="10"/>
      <c r="N1029" s="10"/>
      <c r="O1029" s="20"/>
      <c r="P1029" s="20"/>
      <c r="R1029" s="20"/>
      <c r="S1029" s="10"/>
    </row>
    <row r="1030" spans="3:19" s="19" customFormat="1" x14ac:dyDescent="0.2">
      <c r="C1030" s="29"/>
      <c r="E1030" s="10"/>
      <c r="H1030" s="10"/>
      <c r="K1030" s="10"/>
      <c r="N1030" s="10"/>
      <c r="O1030" s="20"/>
      <c r="P1030" s="20"/>
      <c r="R1030" s="20"/>
      <c r="S1030" s="10"/>
    </row>
    <row r="1031" spans="3:19" s="19" customFormat="1" x14ac:dyDescent="0.2">
      <c r="C1031" s="29"/>
      <c r="E1031" s="10"/>
      <c r="H1031" s="10"/>
      <c r="K1031" s="10"/>
      <c r="N1031" s="10"/>
      <c r="O1031" s="20"/>
      <c r="P1031" s="20"/>
      <c r="R1031" s="20"/>
      <c r="S1031" s="10"/>
    </row>
    <row r="1032" spans="3:19" s="19" customFormat="1" x14ac:dyDescent="0.2">
      <c r="C1032" s="29"/>
      <c r="E1032" s="10"/>
      <c r="H1032" s="10"/>
      <c r="K1032" s="10"/>
      <c r="N1032" s="10"/>
      <c r="O1032" s="20"/>
      <c r="P1032" s="20"/>
      <c r="R1032" s="20"/>
      <c r="S1032" s="10"/>
    </row>
    <row r="1033" spans="3:19" s="19" customFormat="1" x14ac:dyDescent="0.2">
      <c r="C1033" s="29"/>
      <c r="E1033" s="10"/>
      <c r="H1033" s="10"/>
      <c r="K1033" s="10"/>
      <c r="N1033" s="10"/>
      <c r="O1033" s="20"/>
      <c r="P1033" s="20"/>
      <c r="R1033" s="20"/>
      <c r="S1033" s="10"/>
    </row>
    <row r="1034" spans="3:19" s="19" customFormat="1" x14ac:dyDescent="0.2">
      <c r="C1034" s="29"/>
      <c r="E1034" s="10"/>
      <c r="H1034" s="10"/>
      <c r="K1034" s="10"/>
      <c r="N1034" s="10"/>
      <c r="O1034" s="20"/>
      <c r="P1034" s="20"/>
      <c r="R1034" s="20"/>
      <c r="S1034" s="10"/>
    </row>
    <row r="1035" spans="3:19" s="19" customFormat="1" x14ac:dyDescent="0.2">
      <c r="C1035" s="29"/>
      <c r="E1035" s="10"/>
      <c r="H1035" s="10"/>
      <c r="K1035" s="10"/>
      <c r="N1035" s="10"/>
      <c r="O1035" s="20"/>
      <c r="P1035" s="20"/>
      <c r="R1035" s="20"/>
      <c r="S1035" s="10"/>
    </row>
    <row r="1036" spans="3:19" s="19" customFormat="1" x14ac:dyDescent="0.2">
      <c r="C1036" s="29"/>
      <c r="E1036" s="10"/>
      <c r="H1036" s="10"/>
      <c r="K1036" s="10"/>
      <c r="N1036" s="10"/>
      <c r="O1036" s="20"/>
      <c r="P1036" s="20"/>
      <c r="R1036" s="20"/>
      <c r="S1036" s="10"/>
    </row>
    <row r="1037" spans="3:19" s="19" customFormat="1" x14ac:dyDescent="0.2">
      <c r="C1037" s="29"/>
      <c r="E1037" s="10"/>
      <c r="H1037" s="10"/>
      <c r="K1037" s="10"/>
      <c r="N1037" s="10"/>
      <c r="O1037" s="20"/>
      <c r="P1037" s="20"/>
      <c r="R1037" s="20"/>
      <c r="S1037" s="10"/>
    </row>
    <row r="1038" spans="3:19" s="19" customFormat="1" x14ac:dyDescent="0.2">
      <c r="C1038" s="29"/>
      <c r="E1038" s="10"/>
      <c r="H1038" s="10"/>
      <c r="K1038" s="10"/>
      <c r="N1038" s="10"/>
      <c r="O1038" s="20"/>
      <c r="P1038" s="20"/>
      <c r="R1038" s="20"/>
      <c r="S1038" s="10"/>
    </row>
    <row r="1039" spans="3:19" s="19" customFormat="1" x14ac:dyDescent="0.2">
      <c r="C1039" s="29"/>
      <c r="E1039" s="10"/>
      <c r="H1039" s="10"/>
      <c r="K1039" s="10"/>
      <c r="N1039" s="10"/>
      <c r="O1039" s="20"/>
      <c r="P1039" s="20"/>
      <c r="R1039" s="20"/>
      <c r="S1039" s="10"/>
    </row>
    <row r="1040" spans="3:19" s="19" customFormat="1" x14ac:dyDescent="0.2">
      <c r="C1040" s="29"/>
      <c r="E1040" s="10"/>
      <c r="H1040" s="10"/>
      <c r="K1040" s="10"/>
      <c r="N1040" s="10"/>
      <c r="O1040" s="20"/>
      <c r="P1040" s="20"/>
      <c r="R1040" s="20"/>
      <c r="S1040" s="10"/>
    </row>
    <row r="1041" spans="3:19" s="19" customFormat="1" x14ac:dyDescent="0.2">
      <c r="C1041" s="29"/>
      <c r="E1041" s="10"/>
      <c r="H1041" s="10"/>
      <c r="K1041" s="10"/>
      <c r="N1041" s="10"/>
      <c r="O1041" s="20"/>
      <c r="P1041" s="20"/>
      <c r="R1041" s="20"/>
      <c r="S1041" s="10"/>
    </row>
    <row r="1042" spans="3:19" s="19" customFormat="1" x14ac:dyDescent="0.2">
      <c r="C1042" s="29"/>
      <c r="E1042" s="10"/>
      <c r="H1042" s="10"/>
      <c r="K1042" s="10"/>
      <c r="N1042" s="10"/>
      <c r="O1042" s="20"/>
      <c r="P1042" s="20"/>
      <c r="R1042" s="20"/>
      <c r="S1042" s="10"/>
    </row>
    <row r="1043" spans="3:19" s="19" customFormat="1" x14ac:dyDescent="0.2">
      <c r="C1043" s="29"/>
      <c r="E1043" s="10"/>
      <c r="H1043" s="10"/>
      <c r="K1043" s="10"/>
      <c r="N1043" s="10"/>
      <c r="O1043" s="20"/>
      <c r="P1043" s="20"/>
      <c r="R1043" s="20"/>
      <c r="S1043" s="10"/>
    </row>
    <row r="1044" spans="3:19" s="19" customFormat="1" x14ac:dyDescent="0.2">
      <c r="C1044" s="29"/>
      <c r="E1044" s="10"/>
      <c r="H1044" s="10"/>
      <c r="K1044" s="10"/>
      <c r="N1044" s="10"/>
      <c r="O1044" s="20"/>
      <c r="P1044" s="20"/>
      <c r="R1044" s="20"/>
      <c r="S1044" s="10"/>
    </row>
    <row r="1045" spans="3:19" s="19" customFormat="1" x14ac:dyDescent="0.2">
      <c r="C1045" s="29"/>
      <c r="E1045" s="10"/>
      <c r="H1045" s="10"/>
      <c r="K1045" s="10"/>
      <c r="N1045" s="10"/>
      <c r="O1045" s="20"/>
      <c r="P1045" s="20"/>
      <c r="R1045" s="20"/>
      <c r="S1045" s="10"/>
    </row>
    <row r="1046" spans="3:19" s="19" customFormat="1" x14ac:dyDescent="0.2">
      <c r="C1046" s="29"/>
      <c r="E1046" s="10"/>
      <c r="H1046" s="10"/>
      <c r="K1046" s="10"/>
      <c r="N1046" s="10"/>
      <c r="O1046" s="20"/>
      <c r="P1046" s="20"/>
      <c r="R1046" s="20"/>
      <c r="S1046" s="10"/>
    </row>
    <row r="1047" spans="3:19" s="19" customFormat="1" x14ac:dyDescent="0.2">
      <c r="C1047" s="29"/>
      <c r="E1047" s="10"/>
      <c r="H1047" s="10"/>
      <c r="K1047" s="10"/>
      <c r="N1047" s="10"/>
      <c r="O1047" s="20"/>
      <c r="P1047" s="20"/>
      <c r="R1047" s="20"/>
      <c r="S1047" s="10"/>
    </row>
    <row r="1048" spans="3:19" s="19" customFormat="1" x14ac:dyDescent="0.2">
      <c r="C1048" s="29"/>
      <c r="E1048" s="10"/>
      <c r="H1048" s="10"/>
      <c r="K1048" s="10"/>
      <c r="N1048" s="10"/>
      <c r="O1048" s="20"/>
      <c r="P1048" s="20"/>
      <c r="R1048" s="20"/>
      <c r="S1048" s="10"/>
    </row>
    <row r="1049" spans="3:19" s="19" customFormat="1" x14ac:dyDescent="0.2">
      <c r="C1049" s="29"/>
      <c r="E1049" s="10"/>
      <c r="H1049" s="10"/>
      <c r="K1049" s="10"/>
      <c r="N1049" s="10"/>
      <c r="O1049" s="20"/>
      <c r="P1049" s="20"/>
      <c r="R1049" s="20"/>
      <c r="S1049" s="10"/>
    </row>
    <row r="1050" spans="3:19" s="19" customFormat="1" x14ac:dyDescent="0.2">
      <c r="C1050" s="29"/>
      <c r="E1050" s="10"/>
      <c r="H1050" s="10"/>
      <c r="K1050" s="10"/>
      <c r="N1050" s="10"/>
      <c r="O1050" s="20"/>
      <c r="P1050" s="20"/>
      <c r="R1050" s="20"/>
      <c r="S1050" s="10"/>
    </row>
    <row r="1051" spans="3:19" s="19" customFormat="1" x14ac:dyDescent="0.2">
      <c r="C1051" s="29"/>
      <c r="E1051" s="10"/>
      <c r="H1051" s="10"/>
      <c r="K1051" s="10"/>
      <c r="N1051" s="10"/>
      <c r="O1051" s="20"/>
      <c r="P1051" s="20"/>
      <c r="R1051" s="20"/>
      <c r="S1051" s="10"/>
    </row>
    <row r="1052" spans="3:19" s="19" customFormat="1" x14ac:dyDescent="0.2">
      <c r="C1052" s="29"/>
      <c r="E1052" s="10"/>
      <c r="H1052" s="10"/>
      <c r="K1052" s="10"/>
      <c r="N1052" s="10"/>
      <c r="O1052" s="20"/>
      <c r="P1052" s="20"/>
      <c r="R1052" s="20"/>
      <c r="S1052" s="10"/>
    </row>
    <row r="1053" spans="3:19" s="19" customFormat="1" x14ac:dyDescent="0.2">
      <c r="C1053" s="29"/>
      <c r="E1053" s="10"/>
      <c r="H1053" s="10"/>
      <c r="K1053" s="10"/>
      <c r="N1053" s="10"/>
      <c r="O1053" s="20"/>
      <c r="P1053" s="20"/>
      <c r="R1053" s="20"/>
      <c r="S1053" s="10"/>
    </row>
    <row r="1054" spans="3:19" s="19" customFormat="1" x14ac:dyDescent="0.2">
      <c r="C1054" s="29"/>
      <c r="E1054" s="10"/>
      <c r="H1054" s="10"/>
      <c r="K1054" s="10"/>
      <c r="N1054" s="10"/>
      <c r="O1054" s="20"/>
      <c r="P1054" s="20"/>
      <c r="R1054" s="20"/>
      <c r="S1054" s="10"/>
    </row>
    <row r="1055" spans="3:19" s="19" customFormat="1" x14ac:dyDescent="0.2">
      <c r="C1055" s="29"/>
      <c r="E1055" s="10"/>
      <c r="H1055" s="10"/>
      <c r="K1055" s="10"/>
      <c r="N1055" s="10"/>
      <c r="O1055" s="20"/>
      <c r="P1055" s="20"/>
      <c r="R1055" s="20"/>
      <c r="S1055" s="10"/>
    </row>
    <row r="1056" spans="3:19" s="19" customFormat="1" x14ac:dyDescent="0.2">
      <c r="C1056" s="29"/>
      <c r="E1056" s="10"/>
      <c r="H1056" s="10"/>
      <c r="K1056" s="10"/>
      <c r="N1056" s="10"/>
      <c r="O1056" s="20"/>
      <c r="P1056" s="20"/>
      <c r="R1056" s="20"/>
      <c r="S1056" s="10"/>
    </row>
    <row r="1057" spans="3:19" s="19" customFormat="1" x14ac:dyDescent="0.2">
      <c r="C1057" s="29"/>
      <c r="E1057" s="10"/>
      <c r="H1057" s="10"/>
      <c r="K1057" s="10"/>
      <c r="N1057" s="10"/>
      <c r="O1057" s="20"/>
      <c r="P1057" s="20"/>
      <c r="R1057" s="20"/>
      <c r="S1057" s="10"/>
    </row>
    <row r="1058" spans="3:19" s="19" customFormat="1" x14ac:dyDescent="0.2">
      <c r="C1058" s="29"/>
      <c r="E1058" s="10"/>
      <c r="H1058" s="10"/>
      <c r="K1058" s="10"/>
      <c r="N1058" s="10"/>
      <c r="O1058" s="20"/>
      <c r="P1058" s="20"/>
      <c r="R1058" s="20"/>
      <c r="S1058" s="10"/>
    </row>
    <row r="1059" spans="3:19" s="19" customFormat="1" x14ac:dyDescent="0.2">
      <c r="C1059" s="29"/>
      <c r="E1059" s="10"/>
      <c r="H1059" s="10"/>
      <c r="K1059" s="10"/>
      <c r="N1059" s="10"/>
      <c r="O1059" s="20"/>
      <c r="P1059" s="20"/>
      <c r="R1059" s="20"/>
      <c r="S1059" s="10"/>
    </row>
    <row r="1060" spans="3:19" s="19" customFormat="1" x14ac:dyDescent="0.2">
      <c r="C1060" s="29"/>
      <c r="E1060" s="10"/>
      <c r="H1060" s="10"/>
      <c r="K1060" s="10"/>
      <c r="N1060" s="10"/>
      <c r="O1060" s="20"/>
      <c r="P1060" s="20"/>
      <c r="R1060" s="20"/>
      <c r="S1060" s="10"/>
    </row>
    <row r="1061" spans="3:19" s="19" customFormat="1" x14ac:dyDescent="0.2">
      <c r="C1061" s="29"/>
      <c r="E1061" s="10"/>
      <c r="H1061" s="10"/>
      <c r="K1061" s="10"/>
      <c r="N1061" s="10"/>
      <c r="O1061" s="20"/>
      <c r="P1061" s="20"/>
      <c r="R1061" s="20"/>
      <c r="S1061" s="10"/>
    </row>
    <row r="1062" spans="3:19" s="19" customFormat="1" x14ac:dyDescent="0.2">
      <c r="C1062" s="29"/>
      <c r="E1062" s="10"/>
      <c r="H1062" s="10"/>
      <c r="K1062" s="10"/>
      <c r="N1062" s="10"/>
      <c r="O1062" s="20"/>
      <c r="P1062" s="20"/>
      <c r="R1062" s="20"/>
      <c r="S1062" s="10"/>
    </row>
    <row r="1063" spans="3:19" s="19" customFormat="1" x14ac:dyDescent="0.2">
      <c r="C1063" s="29"/>
      <c r="E1063" s="10"/>
      <c r="H1063" s="10"/>
      <c r="K1063" s="10"/>
      <c r="N1063" s="10"/>
      <c r="O1063" s="20"/>
      <c r="P1063" s="20"/>
      <c r="R1063" s="20"/>
      <c r="S1063" s="10"/>
    </row>
    <row r="1064" spans="3:19" s="19" customFormat="1" x14ac:dyDescent="0.2">
      <c r="C1064" s="29"/>
      <c r="E1064" s="10"/>
      <c r="H1064" s="10"/>
      <c r="K1064" s="10"/>
      <c r="N1064" s="10"/>
      <c r="O1064" s="20"/>
      <c r="P1064" s="20"/>
      <c r="R1064" s="20"/>
      <c r="S1064" s="10"/>
    </row>
    <row r="1065" spans="3:19" s="19" customFormat="1" x14ac:dyDescent="0.2">
      <c r="C1065" s="29"/>
      <c r="E1065" s="10"/>
      <c r="H1065" s="10"/>
      <c r="K1065" s="10"/>
      <c r="N1065" s="10"/>
      <c r="O1065" s="20"/>
      <c r="P1065" s="20"/>
      <c r="R1065" s="20"/>
      <c r="S1065" s="10"/>
    </row>
    <row r="1066" spans="3:19" s="19" customFormat="1" x14ac:dyDescent="0.2">
      <c r="C1066" s="29"/>
      <c r="E1066" s="10"/>
      <c r="H1066" s="10"/>
      <c r="K1066" s="10"/>
      <c r="N1066" s="10"/>
      <c r="O1066" s="20"/>
      <c r="P1066" s="20"/>
      <c r="R1066" s="20"/>
      <c r="S1066" s="10"/>
    </row>
    <row r="1067" spans="3:19" s="19" customFormat="1" x14ac:dyDescent="0.2">
      <c r="C1067" s="29"/>
      <c r="E1067" s="10"/>
      <c r="H1067" s="10"/>
      <c r="K1067" s="10"/>
      <c r="N1067" s="10"/>
      <c r="O1067" s="20"/>
      <c r="P1067" s="20"/>
      <c r="R1067" s="20"/>
      <c r="S1067" s="10"/>
    </row>
    <row r="1068" spans="3:19" s="19" customFormat="1" x14ac:dyDescent="0.2">
      <c r="C1068" s="29"/>
      <c r="E1068" s="10"/>
      <c r="H1068" s="10"/>
      <c r="K1068" s="10"/>
      <c r="N1068" s="10"/>
      <c r="O1068" s="20"/>
      <c r="P1068" s="20"/>
      <c r="R1068" s="20"/>
      <c r="S1068" s="10"/>
    </row>
    <row r="1069" spans="3:19" s="19" customFormat="1" x14ac:dyDescent="0.2">
      <c r="C1069" s="29"/>
      <c r="E1069" s="10"/>
      <c r="H1069" s="10"/>
      <c r="K1069" s="10"/>
      <c r="N1069" s="10"/>
      <c r="O1069" s="20"/>
      <c r="P1069" s="20"/>
      <c r="R1069" s="20"/>
      <c r="S1069" s="10"/>
    </row>
    <row r="1070" spans="3:19" s="19" customFormat="1" x14ac:dyDescent="0.2">
      <c r="C1070" s="29"/>
      <c r="E1070" s="10"/>
      <c r="H1070" s="10"/>
      <c r="K1070" s="10"/>
      <c r="N1070" s="10"/>
      <c r="O1070" s="20"/>
      <c r="P1070" s="20"/>
      <c r="R1070" s="20"/>
      <c r="S1070" s="10"/>
    </row>
    <row r="1071" spans="3:19" s="19" customFormat="1" x14ac:dyDescent="0.2">
      <c r="C1071" s="29"/>
      <c r="E1071" s="10"/>
      <c r="H1071" s="10"/>
      <c r="K1071" s="10"/>
      <c r="N1071" s="10"/>
      <c r="O1071" s="20"/>
      <c r="P1071" s="20"/>
      <c r="R1071" s="20"/>
      <c r="S1071" s="10"/>
    </row>
    <row r="1072" spans="3:19" s="19" customFormat="1" x14ac:dyDescent="0.2">
      <c r="C1072" s="29"/>
      <c r="E1072" s="10"/>
      <c r="H1072" s="10"/>
      <c r="K1072" s="10"/>
      <c r="N1072" s="10"/>
      <c r="O1072" s="20"/>
      <c r="P1072" s="20"/>
      <c r="R1072" s="20"/>
      <c r="S1072" s="10"/>
    </row>
    <row r="1073" spans="3:19" s="19" customFormat="1" x14ac:dyDescent="0.2">
      <c r="C1073" s="29"/>
      <c r="E1073" s="10"/>
      <c r="H1073" s="10"/>
      <c r="K1073" s="10"/>
      <c r="N1073" s="10"/>
      <c r="O1073" s="20"/>
      <c r="P1073" s="20"/>
      <c r="R1073" s="20"/>
      <c r="S1073" s="10"/>
    </row>
    <row r="1074" spans="3:19" s="19" customFormat="1" x14ac:dyDescent="0.2">
      <c r="C1074" s="29"/>
      <c r="E1074" s="10"/>
      <c r="H1074" s="10"/>
      <c r="K1074" s="10"/>
      <c r="N1074" s="10"/>
      <c r="O1074" s="20"/>
      <c r="P1074" s="20"/>
      <c r="R1074" s="20"/>
      <c r="S1074" s="10"/>
    </row>
    <row r="1075" spans="3:19" s="19" customFormat="1" x14ac:dyDescent="0.2">
      <c r="C1075" s="29"/>
      <c r="E1075" s="10"/>
      <c r="H1075" s="10"/>
      <c r="K1075" s="10"/>
      <c r="N1075" s="10"/>
      <c r="O1075" s="20"/>
      <c r="P1075" s="20"/>
      <c r="R1075" s="20"/>
      <c r="S1075" s="10"/>
    </row>
    <row r="1076" spans="3:19" s="19" customFormat="1" x14ac:dyDescent="0.2">
      <c r="C1076" s="29"/>
      <c r="E1076" s="10"/>
      <c r="H1076" s="10"/>
      <c r="K1076" s="10"/>
      <c r="N1076" s="10"/>
      <c r="O1076" s="20"/>
      <c r="P1076" s="20"/>
      <c r="R1076" s="20"/>
      <c r="S1076" s="10"/>
    </row>
    <row r="1077" spans="3:19" s="19" customFormat="1" x14ac:dyDescent="0.2">
      <c r="C1077" s="29"/>
      <c r="E1077" s="10"/>
      <c r="H1077" s="10"/>
      <c r="K1077" s="10"/>
      <c r="N1077" s="10"/>
      <c r="O1077" s="20"/>
      <c r="P1077" s="20"/>
      <c r="R1077" s="20"/>
      <c r="S1077" s="10"/>
    </row>
    <row r="1078" spans="3:19" s="19" customFormat="1" x14ac:dyDescent="0.2">
      <c r="C1078" s="29"/>
      <c r="E1078" s="10"/>
      <c r="H1078" s="10"/>
      <c r="K1078" s="10"/>
      <c r="N1078" s="10"/>
      <c r="O1078" s="20"/>
      <c r="P1078" s="20"/>
      <c r="R1078" s="20"/>
      <c r="S1078" s="10"/>
    </row>
    <row r="1079" spans="3:19" s="19" customFormat="1" x14ac:dyDescent="0.2">
      <c r="C1079" s="29"/>
      <c r="E1079" s="10"/>
      <c r="H1079" s="10"/>
      <c r="K1079" s="10"/>
      <c r="N1079" s="10"/>
      <c r="O1079" s="20"/>
      <c r="P1079" s="20"/>
      <c r="R1079" s="20"/>
      <c r="S1079" s="10"/>
    </row>
    <row r="1080" spans="3:19" s="19" customFormat="1" x14ac:dyDescent="0.2">
      <c r="C1080" s="29"/>
      <c r="E1080" s="10"/>
      <c r="H1080" s="10"/>
      <c r="K1080" s="10"/>
      <c r="N1080" s="10"/>
      <c r="O1080" s="20"/>
      <c r="P1080" s="20"/>
      <c r="R1080" s="20"/>
      <c r="S1080" s="10"/>
    </row>
    <row r="1081" spans="3:19" s="19" customFormat="1" x14ac:dyDescent="0.2">
      <c r="C1081" s="29"/>
      <c r="E1081" s="10"/>
      <c r="H1081" s="10"/>
      <c r="K1081" s="10"/>
      <c r="N1081" s="10"/>
      <c r="O1081" s="20"/>
      <c r="P1081" s="20"/>
      <c r="R1081" s="20"/>
      <c r="S1081" s="10"/>
    </row>
    <row r="1082" spans="3:19" s="19" customFormat="1" x14ac:dyDescent="0.2">
      <c r="C1082" s="29"/>
      <c r="E1082" s="10"/>
      <c r="H1082" s="10"/>
      <c r="K1082" s="10"/>
      <c r="N1082" s="10"/>
      <c r="O1082" s="20"/>
      <c r="P1082" s="20"/>
      <c r="R1082" s="20"/>
      <c r="S1082" s="10"/>
    </row>
    <row r="1083" spans="3:19" s="19" customFormat="1" x14ac:dyDescent="0.2">
      <c r="C1083" s="29"/>
      <c r="E1083" s="10"/>
      <c r="H1083" s="10"/>
      <c r="K1083" s="10"/>
      <c r="N1083" s="10"/>
      <c r="O1083" s="20"/>
      <c r="P1083" s="20"/>
      <c r="R1083" s="20"/>
      <c r="S1083" s="10"/>
    </row>
    <row r="1084" spans="3:19" s="19" customFormat="1" x14ac:dyDescent="0.2">
      <c r="C1084" s="29"/>
      <c r="E1084" s="10"/>
      <c r="H1084" s="10"/>
      <c r="K1084" s="10"/>
      <c r="N1084" s="10"/>
      <c r="O1084" s="20"/>
      <c r="P1084" s="20"/>
      <c r="R1084" s="20"/>
      <c r="S1084" s="10"/>
    </row>
    <row r="1085" spans="3:19" s="19" customFormat="1" x14ac:dyDescent="0.2">
      <c r="C1085" s="29"/>
      <c r="E1085" s="10"/>
      <c r="H1085" s="10"/>
      <c r="K1085" s="10"/>
      <c r="N1085" s="10"/>
      <c r="O1085" s="20"/>
      <c r="P1085" s="20"/>
      <c r="R1085" s="20"/>
      <c r="S1085" s="10"/>
    </row>
    <row r="1086" spans="3:19" s="19" customFormat="1" x14ac:dyDescent="0.2">
      <c r="C1086" s="29"/>
      <c r="E1086" s="10"/>
      <c r="H1086" s="10"/>
      <c r="K1086" s="10"/>
      <c r="N1086" s="10"/>
      <c r="O1086" s="20"/>
      <c r="P1086" s="20"/>
      <c r="R1086" s="20"/>
      <c r="S1086" s="10"/>
    </row>
    <row r="1087" spans="3:19" s="19" customFormat="1" x14ac:dyDescent="0.2">
      <c r="C1087" s="29"/>
      <c r="E1087" s="10"/>
      <c r="H1087" s="10"/>
      <c r="K1087" s="10"/>
      <c r="N1087" s="10"/>
      <c r="O1087" s="20"/>
      <c r="P1087" s="20"/>
      <c r="R1087" s="20"/>
      <c r="S1087" s="10"/>
    </row>
    <row r="1088" spans="3:19" s="19" customFormat="1" x14ac:dyDescent="0.2">
      <c r="C1088" s="29"/>
      <c r="E1088" s="10"/>
      <c r="H1088" s="10"/>
      <c r="K1088" s="10"/>
      <c r="N1088" s="10"/>
      <c r="O1088" s="20"/>
      <c r="P1088" s="20"/>
      <c r="R1088" s="20"/>
      <c r="S1088" s="10"/>
    </row>
    <row r="1089" spans="3:19" s="19" customFormat="1" x14ac:dyDescent="0.2">
      <c r="C1089" s="29"/>
      <c r="E1089" s="10"/>
      <c r="H1089" s="10"/>
      <c r="K1089" s="10"/>
      <c r="N1089" s="10"/>
      <c r="O1089" s="20"/>
      <c r="P1089" s="20"/>
      <c r="R1089" s="20"/>
      <c r="S1089" s="10"/>
    </row>
    <row r="1090" spans="3:19" s="19" customFormat="1" x14ac:dyDescent="0.2">
      <c r="C1090" s="29"/>
      <c r="E1090" s="10"/>
      <c r="H1090" s="10"/>
      <c r="K1090" s="10"/>
      <c r="N1090" s="10"/>
      <c r="O1090" s="20"/>
      <c r="P1090" s="20"/>
      <c r="R1090" s="20"/>
      <c r="S1090" s="10"/>
    </row>
    <row r="1091" spans="3:19" s="19" customFormat="1" x14ac:dyDescent="0.2">
      <c r="C1091" s="29"/>
      <c r="E1091" s="10"/>
      <c r="H1091" s="10"/>
      <c r="K1091" s="10"/>
      <c r="N1091" s="10"/>
      <c r="O1091" s="20"/>
      <c r="P1091" s="20"/>
      <c r="R1091" s="20"/>
      <c r="S1091" s="10"/>
    </row>
    <row r="1092" spans="3:19" s="19" customFormat="1" x14ac:dyDescent="0.2">
      <c r="C1092" s="29"/>
      <c r="E1092" s="10"/>
      <c r="H1092" s="10"/>
      <c r="K1092" s="10"/>
      <c r="N1092" s="10"/>
      <c r="O1092" s="20"/>
      <c r="P1092" s="20"/>
      <c r="R1092" s="20"/>
      <c r="S1092" s="10"/>
    </row>
    <row r="1093" spans="3:19" s="19" customFormat="1" x14ac:dyDescent="0.2">
      <c r="C1093" s="29"/>
      <c r="E1093" s="10"/>
      <c r="H1093" s="10"/>
      <c r="K1093" s="10"/>
      <c r="N1093" s="10"/>
      <c r="O1093" s="20"/>
      <c r="P1093" s="20"/>
      <c r="R1093" s="20"/>
      <c r="S1093" s="10"/>
    </row>
    <row r="1094" spans="3:19" s="19" customFormat="1" x14ac:dyDescent="0.2">
      <c r="C1094" s="29"/>
      <c r="E1094" s="10"/>
      <c r="H1094" s="10"/>
      <c r="K1094" s="10"/>
      <c r="N1094" s="10"/>
      <c r="O1094" s="20"/>
      <c r="P1094" s="20"/>
      <c r="R1094" s="20"/>
      <c r="S1094" s="10"/>
    </row>
    <row r="1095" spans="3:19" s="19" customFormat="1" x14ac:dyDescent="0.2">
      <c r="C1095" s="29"/>
      <c r="E1095" s="10"/>
      <c r="H1095" s="10"/>
      <c r="K1095" s="10"/>
      <c r="N1095" s="10"/>
      <c r="O1095" s="20"/>
      <c r="P1095" s="20"/>
      <c r="R1095" s="20"/>
      <c r="S1095" s="10"/>
    </row>
    <row r="1096" spans="3:19" s="19" customFormat="1" x14ac:dyDescent="0.2">
      <c r="C1096" s="29"/>
      <c r="E1096" s="10"/>
      <c r="H1096" s="10"/>
      <c r="K1096" s="10"/>
      <c r="N1096" s="10"/>
      <c r="O1096" s="20"/>
      <c r="P1096" s="20"/>
      <c r="R1096" s="20"/>
      <c r="S1096" s="10"/>
    </row>
    <row r="1097" spans="3:19" s="19" customFormat="1" x14ac:dyDescent="0.2">
      <c r="C1097" s="29"/>
      <c r="E1097" s="10"/>
      <c r="H1097" s="10"/>
      <c r="K1097" s="10"/>
      <c r="N1097" s="10"/>
      <c r="O1097" s="20"/>
      <c r="P1097" s="20"/>
      <c r="R1097" s="20"/>
      <c r="S1097" s="10"/>
    </row>
    <row r="1098" spans="3:19" s="19" customFormat="1" x14ac:dyDescent="0.2">
      <c r="C1098" s="29"/>
      <c r="E1098" s="10"/>
      <c r="H1098" s="10"/>
      <c r="K1098" s="10"/>
      <c r="N1098" s="10"/>
      <c r="O1098" s="20"/>
      <c r="P1098" s="20"/>
      <c r="R1098" s="20"/>
      <c r="S1098" s="10"/>
    </row>
    <row r="1099" spans="3:19" s="19" customFormat="1" x14ac:dyDescent="0.2">
      <c r="C1099" s="29"/>
      <c r="E1099" s="10"/>
      <c r="H1099" s="10"/>
      <c r="K1099" s="10"/>
      <c r="N1099" s="10"/>
      <c r="O1099" s="20"/>
      <c r="P1099" s="20"/>
      <c r="R1099" s="20"/>
      <c r="S1099" s="10"/>
    </row>
    <row r="1100" spans="3:19" s="19" customFormat="1" x14ac:dyDescent="0.2">
      <c r="C1100" s="29"/>
      <c r="E1100" s="10"/>
      <c r="H1100" s="10"/>
      <c r="K1100" s="10"/>
      <c r="N1100" s="10"/>
      <c r="O1100" s="20"/>
      <c r="P1100" s="20"/>
      <c r="R1100" s="20"/>
      <c r="S1100" s="10"/>
    </row>
    <row r="1101" spans="3:19" s="19" customFormat="1" x14ac:dyDescent="0.2">
      <c r="C1101" s="29"/>
      <c r="E1101" s="10"/>
      <c r="H1101" s="10"/>
      <c r="K1101" s="10"/>
      <c r="N1101" s="10"/>
      <c r="O1101" s="20"/>
      <c r="P1101" s="20"/>
      <c r="R1101" s="20"/>
      <c r="S1101" s="10"/>
    </row>
    <row r="1102" spans="3:19" s="19" customFormat="1" x14ac:dyDescent="0.2">
      <c r="C1102" s="29"/>
      <c r="E1102" s="10"/>
      <c r="H1102" s="10"/>
      <c r="K1102" s="10"/>
      <c r="N1102" s="10"/>
      <c r="O1102" s="20"/>
      <c r="P1102" s="20"/>
      <c r="R1102" s="20"/>
      <c r="S1102" s="10"/>
    </row>
    <row r="1103" spans="3:19" s="19" customFormat="1" x14ac:dyDescent="0.2">
      <c r="C1103" s="29"/>
      <c r="E1103" s="10"/>
      <c r="H1103" s="10"/>
      <c r="K1103" s="10"/>
      <c r="N1103" s="10"/>
      <c r="O1103" s="20"/>
      <c r="P1103" s="20"/>
      <c r="R1103" s="20"/>
      <c r="S1103" s="10"/>
    </row>
    <row r="1104" spans="3:19" s="19" customFormat="1" x14ac:dyDescent="0.2">
      <c r="C1104" s="29"/>
      <c r="E1104" s="10"/>
      <c r="H1104" s="10"/>
      <c r="K1104" s="10"/>
      <c r="N1104" s="10"/>
      <c r="O1104" s="20"/>
      <c r="P1104" s="20"/>
      <c r="R1104" s="20"/>
      <c r="S1104" s="10"/>
    </row>
    <row r="1105" spans="3:19" s="19" customFormat="1" x14ac:dyDescent="0.2">
      <c r="C1105" s="29"/>
      <c r="E1105" s="10"/>
      <c r="H1105" s="10"/>
      <c r="K1105" s="10"/>
      <c r="N1105" s="10"/>
      <c r="O1105" s="20"/>
      <c r="P1105" s="20"/>
      <c r="R1105" s="20"/>
      <c r="S1105" s="10"/>
    </row>
    <row r="1106" spans="3:19" s="19" customFormat="1" x14ac:dyDescent="0.2">
      <c r="C1106" s="29"/>
      <c r="E1106" s="10"/>
      <c r="H1106" s="10"/>
      <c r="K1106" s="10"/>
      <c r="N1106" s="10"/>
      <c r="O1106" s="20"/>
      <c r="P1106" s="20"/>
      <c r="R1106" s="20"/>
      <c r="S1106" s="10"/>
    </row>
    <row r="1107" spans="3:19" s="19" customFormat="1" x14ac:dyDescent="0.2">
      <c r="C1107" s="29"/>
      <c r="E1107" s="10"/>
      <c r="H1107" s="10"/>
      <c r="K1107" s="10"/>
      <c r="N1107" s="10"/>
      <c r="O1107" s="20"/>
      <c r="P1107" s="20"/>
      <c r="R1107" s="20"/>
      <c r="S1107" s="10"/>
    </row>
    <row r="1108" spans="3:19" s="19" customFormat="1" x14ac:dyDescent="0.2">
      <c r="C1108" s="29"/>
      <c r="E1108" s="10"/>
      <c r="H1108" s="10"/>
      <c r="K1108" s="10"/>
      <c r="N1108" s="10"/>
      <c r="O1108" s="20"/>
      <c r="P1108" s="20"/>
      <c r="R1108" s="20"/>
      <c r="S1108" s="10"/>
    </row>
    <row r="1109" spans="3:19" s="19" customFormat="1" x14ac:dyDescent="0.2">
      <c r="C1109" s="29"/>
      <c r="E1109" s="10"/>
      <c r="H1109" s="10"/>
      <c r="K1109" s="10"/>
      <c r="N1109" s="10"/>
      <c r="O1109" s="20"/>
      <c r="P1109" s="20"/>
      <c r="R1109" s="20"/>
      <c r="S1109" s="10"/>
    </row>
    <row r="1110" spans="3:19" s="19" customFormat="1" x14ac:dyDescent="0.2">
      <c r="C1110" s="29"/>
      <c r="E1110" s="10"/>
      <c r="H1110" s="10"/>
      <c r="K1110" s="10"/>
      <c r="N1110" s="10"/>
      <c r="O1110" s="20"/>
      <c r="P1110" s="20"/>
      <c r="R1110" s="20"/>
      <c r="S1110" s="10"/>
    </row>
    <row r="1111" spans="3:19" s="19" customFormat="1" x14ac:dyDescent="0.2">
      <c r="C1111" s="29"/>
      <c r="E1111" s="10"/>
      <c r="H1111" s="10"/>
      <c r="K1111" s="10"/>
      <c r="N1111" s="10"/>
      <c r="O1111" s="20"/>
      <c r="P1111" s="20"/>
      <c r="R1111" s="20"/>
      <c r="S1111" s="10"/>
    </row>
    <row r="1112" spans="3:19" s="19" customFormat="1" x14ac:dyDescent="0.2">
      <c r="C1112" s="29"/>
      <c r="E1112" s="10"/>
      <c r="H1112" s="10"/>
      <c r="K1112" s="10"/>
      <c r="N1112" s="10"/>
      <c r="O1112" s="20"/>
      <c r="P1112" s="20"/>
      <c r="R1112" s="20"/>
      <c r="S1112" s="10"/>
    </row>
    <row r="1113" spans="3:19" s="19" customFormat="1" x14ac:dyDescent="0.2">
      <c r="C1113" s="29"/>
      <c r="E1113" s="10"/>
      <c r="H1113" s="10"/>
      <c r="K1113" s="10"/>
      <c r="N1113" s="10"/>
      <c r="O1113" s="20"/>
      <c r="P1113" s="20"/>
      <c r="R1113" s="20"/>
      <c r="S1113" s="10"/>
    </row>
    <row r="1114" spans="3:19" s="19" customFormat="1" x14ac:dyDescent="0.2">
      <c r="C1114" s="29"/>
      <c r="E1114" s="10"/>
      <c r="H1114" s="10"/>
      <c r="K1114" s="10"/>
      <c r="N1114" s="10"/>
      <c r="O1114" s="20"/>
      <c r="P1114" s="20"/>
      <c r="R1114" s="20"/>
      <c r="S1114" s="10"/>
    </row>
    <row r="1115" spans="3:19" s="19" customFormat="1" x14ac:dyDescent="0.2">
      <c r="C1115" s="29"/>
      <c r="E1115" s="10"/>
      <c r="H1115" s="10"/>
      <c r="K1115" s="10"/>
      <c r="N1115" s="10"/>
      <c r="O1115" s="20"/>
      <c r="P1115" s="20"/>
      <c r="R1115" s="20"/>
      <c r="S1115" s="10"/>
    </row>
    <row r="1116" spans="3:19" s="19" customFormat="1" x14ac:dyDescent="0.2">
      <c r="C1116" s="29"/>
      <c r="E1116" s="10"/>
      <c r="H1116" s="10"/>
      <c r="K1116" s="10"/>
      <c r="N1116" s="10"/>
      <c r="O1116" s="20"/>
      <c r="P1116" s="20"/>
      <c r="R1116" s="20"/>
      <c r="S1116" s="10"/>
    </row>
    <row r="1117" spans="3:19" s="19" customFormat="1" x14ac:dyDescent="0.2">
      <c r="C1117" s="29"/>
      <c r="E1117" s="10"/>
      <c r="H1117" s="10"/>
      <c r="K1117" s="10"/>
      <c r="N1117" s="10"/>
      <c r="O1117" s="20"/>
      <c r="P1117" s="20"/>
      <c r="R1117" s="20"/>
      <c r="S1117" s="10"/>
    </row>
    <row r="1118" spans="3:19" s="19" customFormat="1" x14ac:dyDescent="0.2">
      <c r="C1118" s="29"/>
      <c r="E1118" s="10"/>
      <c r="H1118" s="10"/>
      <c r="K1118" s="10"/>
      <c r="N1118" s="10"/>
      <c r="O1118" s="20"/>
      <c r="P1118" s="20"/>
      <c r="R1118" s="20"/>
      <c r="S1118" s="10"/>
    </row>
    <row r="1119" spans="3:19" s="19" customFormat="1" x14ac:dyDescent="0.2">
      <c r="C1119" s="29"/>
      <c r="E1119" s="10"/>
      <c r="H1119" s="10"/>
      <c r="K1119" s="10"/>
      <c r="N1119" s="10"/>
      <c r="O1119" s="20"/>
      <c r="P1119" s="20"/>
      <c r="R1119" s="20"/>
      <c r="S1119" s="10"/>
    </row>
    <row r="1120" spans="3:19" s="19" customFormat="1" x14ac:dyDescent="0.2">
      <c r="C1120" s="29"/>
      <c r="E1120" s="10"/>
      <c r="H1120" s="10"/>
      <c r="K1120" s="10"/>
      <c r="N1120" s="10"/>
      <c r="O1120" s="20"/>
      <c r="P1120" s="20"/>
      <c r="R1120" s="20"/>
      <c r="S1120" s="10"/>
    </row>
    <row r="1121" spans="3:19" s="19" customFormat="1" x14ac:dyDescent="0.2">
      <c r="C1121" s="29"/>
      <c r="E1121" s="10"/>
      <c r="H1121" s="10"/>
      <c r="K1121" s="10"/>
      <c r="N1121" s="10"/>
      <c r="O1121" s="20"/>
      <c r="P1121" s="20"/>
      <c r="R1121" s="20"/>
      <c r="S1121" s="10"/>
    </row>
    <row r="1122" spans="3:19" s="19" customFormat="1" x14ac:dyDescent="0.2">
      <c r="C1122" s="29"/>
      <c r="E1122" s="10"/>
      <c r="H1122" s="10"/>
      <c r="K1122" s="10"/>
      <c r="N1122" s="10"/>
      <c r="O1122" s="20"/>
      <c r="P1122" s="20"/>
      <c r="R1122" s="20"/>
      <c r="S1122" s="10"/>
    </row>
    <row r="1123" spans="3:19" s="19" customFormat="1" x14ac:dyDescent="0.2">
      <c r="C1123" s="29"/>
      <c r="E1123" s="10"/>
      <c r="H1123" s="10"/>
      <c r="K1123" s="10"/>
      <c r="N1123" s="10"/>
      <c r="O1123" s="20"/>
      <c r="P1123" s="20"/>
      <c r="R1123" s="20"/>
      <c r="S1123" s="10"/>
    </row>
    <row r="1124" spans="3:19" s="19" customFormat="1" x14ac:dyDescent="0.2">
      <c r="C1124" s="29"/>
      <c r="E1124" s="10"/>
      <c r="H1124" s="10"/>
      <c r="K1124" s="10"/>
      <c r="N1124" s="10"/>
      <c r="O1124" s="20"/>
      <c r="P1124" s="20"/>
      <c r="R1124" s="20"/>
      <c r="S1124" s="10"/>
    </row>
    <row r="1125" spans="3:19" s="19" customFormat="1" x14ac:dyDescent="0.2">
      <c r="C1125" s="29"/>
      <c r="E1125" s="10"/>
      <c r="H1125" s="10"/>
      <c r="K1125" s="10"/>
      <c r="N1125" s="10"/>
      <c r="O1125" s="20"/>
      <c r="P1125" s="20"/>
      <c r="R1125" s="20"/>
      <c r="S1125" s="10"/>
    </row>
    <row r="1126" spans="3:19" s="19" customFormat="1" x14ac:dyDescent="0.2">
      <c r="C1126" s="29"/>
      <c r="E1126" s="10"/>
      <c r="H1126" s="10"/>
      <c r="K1126" s="10"/>
      <c r="N1126" s="10"/>
      <c r="O1126" s="20"/>
      <c r="P1126" s="20"/>
      <c r="R1126" s="20"/>
      <c r="S1126" s="10"/>
    </row>
    <row r="1127" spans="3:19" s="19" customFormat="1" x14ac:dyDescent="0.2">
      <c r="C1127" s="29"/>
      <c r="E1127" s="10"/>
      <c r="H1127" s="10"/>
      <c r="K1127" s="10"/>
      <c r="N1127" s="10"/>
      <c r="O1127" s="20"/>
      <c r="P1127" s="20"/>
      <c r="R1127" s="20"/>
      <c r="S1127" s="10"/>
    </row>
    <row r="1128" spans="3:19" s="19" customFormat="1" x14ac:dyDescent="0.2">
      <c r="C1128" s="29"/>
      <c r="E1128" s="10"/>
      <c r="H1128" s="10"/>
      <c r="K1128" s="10"/>
      <c r="N1128" s="10"/>
      <c r="O1128" s="20"/>
      <c r="P1128" s="20"/>
      <c r="R1128" s="20"/>
      <c r="S1128" s="10"/>
    </row>
    <row r="1129" spans="3:19" s="19" customFormat="1" x14ac:dyDescent="0.2">
      <c r="C1129" s="29"/>
      <c r="E1129" s="10"/>
      <c r="H1129" s="10"/>
      <c r="K1129" s="10"/>
      <c r="N1129" s="10"/>
      <c r="O1129" s="20"/>
      <c r="P1129" s="20"/>
      <c r="R1129" s="20"/>
      <c r="S1129" s="10"/>
    </row>
    <row r="1130" spans="3:19" s="19" customFormat="1" x14ac:dyDescent="0.2">
      <c r="C1130" s="29"/>
      <c r="E1130" s="10"/>
      <c r="H1130" s="10"/>
      <c r="K1130" s="10"/>
      <c r="N1130" s="10"/>
      <c r="O1130" s="20"/>
      <c r="P1130" s="20"/>
      <c r="R1130" s="20"/>
      <c r="S1130" s="10"/>
    </row>
    <row r="1131" spans="3:19" s="19" customFormat="1" x14ac:dyDescent="0.2">
      <c r="C1131" s="29"/>
      <c r="E1131" s="10"/>
      <c r="H1131" s="10"/>
      <c r="K1131" s="10"/>
      <c r="N1131" s="10"/>
      <c r="O1131" s="20"/>
      <c r="P1131" s="20"/>
      <c r="R1131" s="20"/>
      <c r="S1131" s="10"/>
    </row>
    <row r="1132" spans="3:19" s="19" customFormat="1" x14ac:dyDescent="0.2">
      <c r="C1132" s="29"/>
      <c r="E1132" s="10"/>
      <c r="H1132" s="10"/>
      <c r="K1132" s="10"/>
      <c r="N1132" s="10"/>
      <c r="O1132" s="20"/>
      <c r="P1132" s="20"/>
      <c r="R1132" s="20"/>
      <c r="S1132" s="10"/>
    </row>
    <row r="1133" spans="3:19" s="19" customFormat="1" x14ac:dyDescent="0.2">
      <c r="C1133" s="29"/>
      <c r="E1133" s="10"/>
      <c r="H1133" s="10"/>
      <c r="K1133" s="10"/>
      <c r="N1133" s="10"/>
      <c r="O1133" s="20"/>
      <c r="P1133" s="20"/>
      <c r="R1133" s="20"/>
      <c r="S1133" s="10"/>
    </row>
    <row r="1134" spans="3:19" s="19" customFormat="1" x14ac:dyDescent="0.2">
      <c r="C1134" s="29"/>
      <c r="E1134" s="10"/>
      <c r="H1134" s="10"/>
      <c r="K1134" s="10"/>
      <c r="N1134" s="10"/>
      <c r="O1134" s="20"/>
      <c r="P1134" s="20"/>
      <c r="R1134" s="20"/>
      <c r="S1134" s="10"/>
    </row>
    <row r="1135" spans="3:19" s="19" customFormat="1" x14ac:dyDescent="0.2">
      <c r="C1135" s="29"/>
      <c r="E1135" s="10"/>
      <c r="H1135" s="10"/>
      <c r="K1135" s="10"/>
      <c r="N1135" s="10"/>
      <c r="O1135" s="20"/>
      <c r="P1135" s="20"/>
      <c r="R1135" s="20"/>
      <c r="S1135" s="10"/>
    </row>
    <row r="1136" spans="3:19" s="19" customFormat="1" x14ac:dyDescent="0.2">
      <c r="C1136" s="29"/>
      <c r="E1136" s="10"/>
      <c r="H1136" s="10"/>
      <c r="K1136" s="10"/>
      <c r="N1136" s="10"/>
      <c r="O1136" s="20"/>
      <c r="P1136" s="20"/>
      <c r="R1136" s="20"/>
      <c r="S1136" s="10"/>
    </row>
    <row r="1137" spans="3:19" s="19" customFormat="1" x14ac:dyDescent="0.2">
      <c r="C1137" s="29"/>
      <c r="E1137" s="10"/>
      <c r="H1137" s="10"/>
      <c r="K1137" s="10"/>
      <c r="N1137" s="10"/>
      <c r="O1137" s="20"/>
      <c r="P1137" s="20"/>
      <c r="R1137" s="20"/>
      <c r="S1137" s="10"/>
    </row>
    <row r="1138" spans="3:19" s="19" customFormat="1" x14ac:dyDescent="0.2">
      <c r="C1138" s="29"/>
      <c r="E1138" s="10"/>
      <c r="H1138" s="10"/>
      <c r="K1138" s="10"/>
      <c r="N1138" s="10"/>
      <c r="O1138" s="20"/>
      <c r="P1138" s="20"/>
      <c r="R1138" s="20"/>
      <c r="S1138" s="10"/>
    </row>
    <row r="1139" spans="3:19" s="19" customFormat="1" x14ac:dyDescent="0.2">
      <c r="C1139" s="29"/>
      <c r="E1139" s="10"/>
      <c r="H1139" s="10"/>
      <c r="K1139" s="10"/>
      <c r="N1139" s="10"/>
      <c r="O1139" s="20"/>
      <c r="P1139" s="20"/>
      <c r="R1139" s="20"/>
      <c r="S1139" s="10"/>
    </row>
    <row r="1140" spans="3:19" s="19" customFormat="1" x14ac:dyDescent="0.2">
      <c r="C1140" s="29"/>
      <c r="E1140" s="10"/>
      <c r="H1140" s="10"/>
      <c r="K1140" s="10"/>
      <c r="N1140" s="10"/>
      <c r="O1140" s="20"/>
      <c r="P1140" s="20"/>
      <c r="R1140" s="20"/>
      <c r="S1140" s="10"/>
    </row>
    <row r="1141" spans="3:19" s="19" customFormat="1" x14ac:dyDescent="0.2">
      <c r="C1141" s="29"/>
      <c r="E1141" s="10"/>
      <c r="H1141" s="10"/>
      <c r="K1141" s="10"/>
      <c r="N1141" s="10"/>
      <c r="O1141" s="20"/>
      <c r="P1141" s="20"/>
      <c r="R1141" s="20"/>
      <c r="S1141" s="10"/>
    </row>
    <row r="1142" spans="3:19" s="19" customFormat="1" x14ac:dyDescent="0.2">
      <c r="C1142" s="29"/>
      <c r="E1142" s="10"/>
      <c r="H1142" s="10"/>
      <c r="K1142" s="10"/>
      <c r="N1142" s="10"/>
      <c r="O1142" s="20"/>
      <c r="P1142" s="20"/>
      <c r="R1142" s="20"/>
      <c r="S1142" s="10"/>
    </row>
    <row r="1143" spans="3:19" s="19" customFormat="1" x14ac:dyDescent="0.2">
      <c r="C1143" s="29"/>
      <c r="E1143" s="10"/>
      <c r="H1143" s="10"/>
      <c r="K1143" s="10"/>
      <c r="N1143" s="10"/>
      <c r="O1143" s="20"/>
      <c r="P1143" s="20"/>
      <c r="R1143" s="20"/>
      <c r="S1143" s="10"/>
    </row>
    <row r="1144" spans="3:19" s="19" customFormat="1" x14ac:dyDescent="0.2">
      <c r="C1144" s="29"/>
      <c r="E1144" s="10"/>
      <c r="H1144" s="10"/>
      <c r="K1144" s="10"/>
      <c r="N1144" s="10"/>
      <c r="O1144" s="20"/>
      <c r="P1144" s="20"/>
      <c r="R1144" s="20"/>
      <c r="S1144" s="10"/>
    </row>
    <row r="1145" spans="3:19" s="19" customFormat="1" x14ac:dyDescent="0.2">
      <c r="C1145" s="29"/>
      <c r="E1145" s="10"/>
      <c r="H1145" s="10"/>
      <c r="K1145" s="10"/>
      <c r="N1145" s="10"/>
      <c r="O1145" s="20"/>
      <c r="P1145" s="20"/>
      <c r="R1145" s="20"/>
      <c r="S1145" s="10"/>
    </row>
    <row r="1146" spans="3:19" s="19" customFormat="1" x14ac:dyDescent="0.2">
      <c r="C1146" s="29"/>
      <c r="E1146" s="10"/>
      <c r="H1146" s="10"/>
      <c r="K1146" s="10"/>
      <c r="N1146" s="10"/>
      <c r="O1146" s="20"/>
      <c r="P1146" s="20"/>
      <c r="R1146" s="20"/>
      <c r="S1146" s="10"/>
    </row>
    <row r="1147" spans="3:19" s="19" customFormat="1" x14ac:dyDescent="0.2">
      <c r="C1147" s="29"/>
      <c r="E1147" s="10"/>
      <c r="H1147" s="10"/>
      <c r="K1147" s="10"/>
      <c r="N1147" s="10"/>
      <c r="O1147" s="20"/>
      <c r="P1147" s="20"/>
      <c r="R1147" s="20"/>
      <c r="S1147" s="10"/>
    </row>
    <row r="1148" spans="3:19" s="19" customFormat="1" x14ac:dyDescent="0.2">
      <c r="C1148" s="29"/>
      <c r="E1148" s="10"/>
      <c r="H1148" s="10"/>
      <c r="K1148" s="10"/>
      <c r="N1148" s="10"/>
      <c r="O1148" s="20"/>
      <c r="P1148" s="20"/>
      <c r="R1148" s="20"/>
      <c r="S1148" s="10"/>
    </row>
    <row r="1149" spans="3:19" s="19" customFormat="1" x14ac:dyDescent="0.2">
      <c r="C1149" s="29"/>
      <c r="E1149" s="10"/>
      <c r="H1149" s="10"/>
      <c r="K1149" s="10"/>
      <c r="N1149" s="10"/>
      <c r="O1149" s="20"/>
      <c r="P1149" s="20"/>
      <c r="R1149" s="20"/>
      <c r="S1149" s="10"/>
    </row>
    <row r="1150" spans="3:19" s="19" customFormat="1" x14ac:dyDescent="0.2">
      <c r="C1150" s="29"/>
      <c r="E1150" s="10"/>
      <c r="H1150" s="10"/>
      <c r="K1150" s="10"/>
      <c r="N1150" s="10"/>
      <c r="O1150" s="20"/>
      <c r="P1150" s="20"/>
      <c r="R1150" s="20"/>
      <c r="S1150" s="10"/>
    </row>
    <row r="1151" spans="3:19" s="19" customFormat="1" x14ac:dyDescent="0.2">
      <c r="C1151" s="29"/>
      <c r="E1151" s="10"/>
      <c r="H1151" s="10"/>
      <c r="K1151" s="10"/>
      <c r="N1151" s="10"/>
      <c r="O1151" s="20"/>
      <c r="P1151" s="20"/>
      <c r="R1151" s="20"/>
      <c r="S1151" s="10"/>
    </row>
    <row r="1152" spans="3:19" s="19" customFormat="1" x14ac:dyDescent="0.2">
      <c r="C1152" s="29"/>
      <c r="E1152" s="10"/>
      <c r="H1152" s="10"/>
      <c r="K1152" s="10"/>
      <c r="N1152" s="10"/>
      <c r="O1152" s="20"/>
      <c r="P1152" s="20"/>
      <c r="R1152" s="20"/>
      <c r="S1152" s="10"/>
    </row>
    <row r="1153" spans="3:19" s="19" customFormat="1" x14ac:dyDescent="0.2">
      <c r="C1153" s="29"/>
      <c r="E1153" s="10"/>
      <c r="H1153" s="10"/>
      <c r="K1153" s="10"/>
      <c r="N1153" s="10"/>
      <c r="O1153" s="20"/>
      <c r="P1153" s="20"/>
      <c r="R1153" s="20"/>
      <c r="S1153" s="10"/>
    </row>
    <row r="1154" spans="3:19" s="19" customFormat="1" x14ac:dyDescent="0.2">
      <c r="C1154" s="29"/>
      <c r="E1154" s="10"/>
      <c r="H1154" s="10"/>
      <c r="K1154" s="10"/>
      <c r="N1154" s="10"/>
      <c r="O1154" s="20"/>
      <c r="P1154" s="20"/>
      <c r="R1154" s="20"/>
      <c r="S1154" s="10"/>
    </row>
    <row r="1155" spans="3:19" s="19" customFormat="1" x14ac:dyDescent="0.2">
      <c r="C1155" s="29"/>
      <c r="E1155" s="10"/>
      <c r="H1155" s="10"/>
      <c r="K1155" s="10"/>
      <c r="N1155" s="10"/>
      <c r="O1155" s="20"/>
      <c r="P1155" s="20"/>
      <c r="R1155" s="20"/>
      <c r="S1155" s="10"/>
    </row>
    <row r="1156" spans="3:19" s="19" customFormat="1" x14ac:dyDescent="0.2">
      <c r="C1156" s="29"/>
      <c r="E1156" s="10"/>
      <c r="H1156" s="10"/>
      <c r="K1156" s="10"/>
      <c r="N1156" s="10"/>
      <c r="O1156" s="20"/>
      <c r="P1156" s="20"/>
      <c r="R1156" s="20"/>
      <c r="S1156" s="10"/>
    </row>
    <row r="1157" spans="3:19" s="19" customFormat="1" x14ac:dyDescent="0.2">
      <c r="C1157" s="29"/>
      <c r="E1157" s="10"/>
      <c r="H1157" s="10"/>
      <c r="K1157" s="10"/>
      <c r="N1157" s="10"/>
      <c r="O1157" s="20"/>
      <c r="P1157" s="20"/>
      <c r="R1157" s="20"/>
      <c r="S1157" s="10"/>
    </row>
    <row r="1158" spans="3:19" s="19" customFormat="1" x14ac:dyDescent="0.2">
      <c r="C1158" s="29"/>
      <c r="E1158" s="10"/>
      <c r="H1158" s="10"/>
      <c r="K1158" s="10"/>
      <c r="N1158" s="10"/>
      <c r="O1158" s="20"/>
      <c r="P1158" s="20"/>
      <c r="R1158" s="20"/>
      <c r="S1158" s="10"/>
    </row>
    <row r="1159" spans="3:19" s="19" customFormat="1" x14ac:dyDescent="0.2">
      <c r="C1159" s="29"/>
      <c r="E1159" s="10"/>
      <c r="H1159" s="10"/>
      <c r="K1159" s="10"/>
      <c r="N1159" s="10"/>
      <c r="O1159" s="20"/>
      <c r="P1159" s="20"/>
      <c r="R1159" s="20"/>
      <c r="S1159" s="10"/>
    </row>
    <row r="1160" spans="3:19" s="19" customFormat="1" x14ac:dyDescent="0.2">
      <c r="C1160" s="29"/>
      <c r="E1160" s="10"/>
      <c r="H1160" s="10"/>
      <c r="K1160" s="10"/>
      <c r="N1160" s="10"/>
      <c r="O1160" s="20"/>
      <c r="P1160" s="20"/>
      <c r="R1160" s="20"/>
      <c r="S1160" s="10"/>
    </row>
    <row r="1161" spans="3:19" s="19" customFormat="1" x14ac:dyDescent="0.2">
      <c r="C1161" s="29"/>
      <c r="E1161" s="10"/>
      <c r="H1161" s="10"/>
      <c r="K1161" s="10"/>
      <c r="N1161" s="10"/>
      <c r="O1161" s="20"/>
      <c r="P1161" s="20"/>
      <c r="R1161" s="20"/>
      <c r="S1161" s="10"/>
    </row>
    <row r="1162" spans="3:19" s="19" customFormat="1" x14ac:dyDescent="0.2">
      <c r="C1162" s="29"/>
      <c r="E1162" s="10"/>
      <c r="H1162" s="10"/>
      <c r="K1162" s="10"/>
      <c r="N1162" s="10"/>
      <c r="O1162" s="20"/>
      <c r="P1162" s="20"/>
      <c r="R1162" s="20"/>
      <c r="S1162" s="10"/>
    </row>
    <row r="1163" spans="3:19" s="19" customFormat="1" x14ac:dyDescent="0.2">
      <c r="C1163" s="29"/>
      <c r="E1163" s="10"/>
      <c r="H1163" s="10"/>
      <c r="K1163" s="10"/>
      <c r="N1163" s="10"/>
      <c r="O1163" s="20"/>
      <c r="P1163" s="20"/>
      <c r="R1163" s="20"/>
      <c r="S1163" s="10"/>
    </row>
    <row r="1164" spans="3:19" s="19" customFormat="1" x14ac:dyDescent="0.2">
      <c r="C1164" s="29"/>
      <c r="E1164" s="10"/>
      <c r="H1164" s="10"/>
      <c r="K1164" s="10"/>
      <c r="N1164" s="10"/>
      <c r="O1164" s="20"/>
      <c r="P1164" s="20"/>
      <c r="R1164" s="20"/>
      <c r="S1164" s="10"/>
    </row>
    <row r="1165" spans="3:19" s="19" customFormat="1" x14ac:dyDescent="0.2">
      <c r="C1165" s="29"/>
      <c r="E1165" s="10"/>
      <c r="H1165" s="10"/>
      <c r="K1165" s="10"/>
      <c r="N1165" s="10"/>
      <c r="O1165" s="20"/>
      <c r="P1165" s="20"/>
      <c r="R1165" s="20"/>
      <c r="S1165" s="10"/>
    </row>
    <row r="1166" spans="3:19" s="19" customFormat="1" x14ac:dyDescent="0.2">
      <c r="C1166" s="29"/>
      <c r="E1166" s="10"/>
      <c r="H1166" s="10"/>
      <c r="K1166" s="10"/>
      <c r="N1166" s="10"/>
      <c r="O1166" s="20"/>
      <c r="P1166" s="20"/>
      <c r="R1166" s="20"/>
      <c r="S1166" s="10"/>
    </row>
    <row r="1167" spans="3:19" s="19" customFormat="1" x14ac:dyDescent="0.2">
      <c r="C1167" s="29"/>
      <c r="E1167" s="10"/>
      <c r="H1167" s="10"/>
      <c r="K1167" s="10"/>
      <c r="N1167" s="10"/>
      <c r="O1167" s="20"/>
      <c r="P1167" s="20"/>
      <c r="R1167" s="20"/>
      <c r="S1167" s="10"/>
    </row>
    <row r="1168" spans="3:19" s="19" customFormat="1" x14ac:dyDescent="0.2">
      <c r="C1168" s="29"/>
      <c r="E1168" s="10"/>
      <c r="H1168" s="10"/>
      <c r="K1168" s="10"/>
      <c r="N1168" s="10"/>
      <c r="O1168" s="20"/>
      <c r="P1168" s="20"/>
      <c r="R1168" s="20"/>
      <c r="S1168" s="10"/>
    </row>
    <row r="1169" spans="3:19" s="19" customFormat="1" x14ac:dyDescent="0.2">
      <c r="C1169" s="29"/>
      <c r="E1169" s="10"/>
      <c r="H1169" s="10"/>
      <c r="K1169" s="10"/>
      <c r="N1169" s="10"/>
      <c r="O1169" s="20"/>
      <c r="P1169" s="20"/>
      <c r="R1169" s="20"/>
      <c r="S1169" s="10"/>
    </row>
    <row r="1170" spans="3:19" s="19" customFormat="1" x14ac:dyDescent="0.2">
      <c r="C1170" s="29"/>
      <c r="E1170" s="10"/>
      <c r="H1170" s="10"/>
      <c r="K1170" s="10"/>
      <c r="N1170" s="10"/>
      <c r="O1170" s="20"/>
      <c r="P1170" s="20"/>
      <c r="R1170" s="20"/>
      <c r="S1170" s="10"/>
    </row>
    <row r="1171" spans="3:19" s="19" customFormat="1" x14ac:dyDescent="0.2">
      <c r="C1171" s="29"/>
      <c r="E1171" s="10"/>
      <c r="H1171" s="10"/>
      <c r="K1171" s="10"/>
      <c r="N1171" s="10"/>
      <c r="O1171" s="20"/>
      <c r="P1171" s="20"/>
      <c r="R1171" s="20"/>
      <c r="S1171" s="10"/>
    </row>
    <row r="1172" spans="3:19" s="19" customFormat="1" x14ac:dyDescent="0.2">
      <c r="C1172" s="29"/>
      <c r="E1172" s="10"/>
      <c r="H1172" s="10"/>
      <c r="K1172" s="10"/>
      <c r="N1172" s="10"/>
      <c r="O1172" s="20"/>
      <c r="P1172" s="20"/>
      <c r="R1172" s="20"/>
      <c r="S1172" s="10"/>
    </row>
    <row r="1173" spans="3:19" s="19" customFormat="1" x14ac:dyDescent="0.2">
      <c r="C1173" s="29"/>
      <c r="E1173" s="10"/>
      <c r="H1173" s="10"/>
      <c r="K1173" s="10"/>
      <c r="N1173" s="10"/>
      <c r="O1173" s="20"/>
      <c r="P1173" s="20"/>
      <c r="R1173" s="20"/>
      <c r="S1173" s="10"/>
    </row>
    <row r="1174" spans="3:19" s="19" customFormat="1" x14ac:dyDescent="0.2">
      <c r="C1174" s="29"/>
      <c r="E1174" s="10"/>
      <c r="H1174" s="10"/>
      <c r="K1174" s="10"/>
      <c r="N1174" s="10"/>
      <c r="O1174" s="20"/>
      <c r="P1174" s="20"/>
      <c r="R1174" s="20"/>
      <c r="S1174" s="10"/>
    </row>
    <row r="1175" spans="3:19" s="19" customFormat="1" x14ac:dyDescent="0.2">
      <c r="C1175" s="29"/>
      <c r="E1175" s="10"/>
      <c r="H1175" s="10"/>
      <c r="K1175" s="10"/>
      <c r="N1175" s="10"/>
      <c r="O1175" s="20"/>
      <c r="P1175" s="20"/>
      <c r="R1175" s="20"/>
      <c r="S1175" s="10"/>
    </row>
    <row r="1176" spans="3:19" s="19" customFormat="1" x14ac:dyDescent="0.2">
      <c r="C1176" s="29"/>
      <c r="E1176" s="10"/>
      <c r="H1176" s="10"/>
      <c r="K1176" s="10"/>
      <c r="N1176" s="10"/>
      <c r="O1176" s="20"/>
      <c r="P1176" s="20"/>
      <c r="R1176" s="20"/>
      <c r="S1176" s="10"/>
    </row>
    <row r="1177" spans="3:19" s="19" customFormat="1" x14ac:dyDescent="0.2">
      <c r="C1177" s="29"/>
      <c r="E1177" s="10"/>
      <c r="H1177" s="10"/>
      <c r="K1177" s="10"/>
      <c r="N1177" s="10"/>
      <c r="O1177" s="20"/>
      <c r="P1177" s="20"/>
      <c r="R1177" s="20"/>
      <c r="S1177" s="10"/>
    </row>
    <row r="1178" spans="3:19" s="19" customFormat="1" x14ac:dyDescent="0.2">
      <c r="C1178" s="29"/>
      <c r="E1178" s="10"/>
      <c r="H1178" s="10"/>
      <c r="K1178" s="10"/>
      <c r="N1178" s="10"/>
      <c r="O1178" s="20"/>
      <c r="P1178" s="20"/>
      <c r="R1178" s="20"/>
      <c r="S1178" s="10"/>
    </row>
    <row r="1179" spans="3:19" s="19" customFormat="1" x14ac:dyDescent="0.2">
      <c r="C1179" s="29"/>
      <c r="E1179" s="10"/>
      <c r="H1179" s="10"/>
      <c r="K1179" s="10"/>
      <c r="N1179" s="10"/>
      <c r="O1179" s="20"/>
      <c r="P1179" s="20"/>
      <c r="R1179" s="20"/>
      <c r="S1179" s="10"/>
    </row>
    <row r="1180" spans="3:19" s="19" customFormat="1" x14ac:dyDescent="0.2">
      <c r="C1180" s="29"/>
      <c r="E1180" s="10"/>
      <c r="H1180" s="10"/>
      <c r="K1180" s="10"/>
      <c r="N1180" s="10"/>
      <c r="O1180" s="20"/>
      <c r="P1180" s="20"/>
      <c r="R1180" s="20"/>
      <c r="S1180" s="10"/>
    </row>
    <row r="1181" spans="3:19" s="19" customFormat="1" x14ac:dyDescent="0.2">
      <c r="C1181" s="29"/>
      <c r="E1181" s="10"/>
      <c r="H1181" s="10"/>
      <c r="K1181" s="10"/>
      <c r="N1181" s="10"/>
      <c r="O1181" s="20"/>
      <c r="P1181" s="20"/>
      <c r="R1181" s="20"/>
      <c r="S1181" s="10"/>
    </row>
    <row r="1182" spans="3:19" s="19" customFormat="1" x14ac:dyDescent="0.2">
      <c r="C1182" s="29"/>
      <c r="E1182" s="10"/>
      <c r="H1182" s="10"/>
      <c r="K1182" s="10"/>
      <c r="N1182" s="10"/>
      <c r="O1182" s="20"/>
      <c r="P1182" s="20"/>
      <c r="R1182" s="20"/>
      <c r="S1182" s="10"/>
    </row>
    <row r="1183" spans="3:19" s="19" customFormat="1" x14ac:dyDescent="0.2">
      <c r="C1183" s="29"/>
      <c r="E1183" s="10"/>
      <c r="H1183" s="10"/>
      <c r="K1183" s="10"/>
      <c r="N1183" s="10"/>
      <c r="O1183" s="20"/>
      <c r="P1183" s="20"/>
      <c r="R1183" s="20"/>
      <c r="S1183" s="10"/>
    </row>
    <row r="1184" spans="3:19" s="19" customFormat="1" x14ac:dyDescent="0.2">
      <c r="C1184" s="29"/>
      <c r="E1184" s="10"/>
      <c r="H1184" s="10"/>
      <c r="K1184" s="10"/>
      <c r="N1184" s="10"/>
      <c r="O1184" s="20"/>
      <c r="P1184" s="20"/>
      <c r="R1184" s="20"/>
      <c r="S1184" s="10"/>
    </row>
    <row r="1185" spans="3:19" s="19" customFormat="1" x14ac:dyDescent="0.2">
      <c r="C1185" s="29"/>
      <c r="E1185" s="10"/>
      <c r="H1185" s="10"/>
      <c r="K1185" s="10"/>
      <c r="N1185" s="10"/>
      <c r="O1185" s="20"/>
      <c r="P1185" s="20"/>
      <c r="R1185" s="20"/>
      <c r="S1185" s="10"/>
    </row>
    <row r="1186" spans="3:19" s="19" customFormat="1" x14ac:dyDescent="0.2">
      <c r="C1186" s="29"/>
      <c r="E1186" s="10"/>
      <c r="H1186" s="10"/>
      <c r="K1186" s="10"/>
      <c r="N1186" s="10"/>
      <c r="O1186" s="20"/>
      <c r="P1186" s="20"/>
      <c r="R1186" s="20"/>
      <c r="S1186" s="10"/>
    </row>
    <row r="1187" spans="3:19" s="19" customFormat="1" x14ac:dyDescent="0.2">
      <c r="C1187" s="29"/>
      <c r="E1187" s="10"/>
      <c r="H1187" s="10"/>
      <c r="K1187" s="10"/>
      <c r="N1187" s="10"/>
      <c r="O1187" s="20"/>
      <c r="P1187" s="20"/>
      <c r="R1187" s="20"/>
      <c r="S1187" s="10"/>
    </row>
    <row r="1188" spans="3:19" s="19" customFormat="1" x14ac:dyDescent="0.2">
      <c r="C1188" s="29"/>
      <c r="E1188" s="10"/>
      <c r="H1188" s="10"/>
      <c r="K1188" s="10"/>
      <c r="N1188" s="10"/>
      <c r="O1188" s="20"/>
      <c r="P1188" s="20"/>
      <c r="R1188" s="20"/>
      <c r="S1188" s="10"/>
    </row>
    <row r="1189" spans="3:19" s="19" customFormat="1" x14ac:dyDescent="0.2">
      <c r="C1189" s="29"/>
      <c r="E1189" s="10"/>
      <c r="H1189" s="10"/>
      <c r="K1189" s="10"/>
      <c r="N1189" s="10"/>
      <c r="O1189" s="20"/>
      <c r="P1189" s="20"/>
      <c r="R1189" s="20"/>
      <c r="S1189" s="10"/>
    </row>
    <row r="1190" spans="3:19" s="19" customFormat="1" x14ac:dyDescent="0.2">
      <c r="C1190" s="29"/>
      <c r="E1190" s="10"/>
      <c r="H1190" s="10"/>
      <c r="K1190" s="10"/>
      <c r="N1190" s="10"/>
      <c r="O1190" s="20"/>
      <c r="P1190" s="20"/>
      <c r="R1190" s="20"/>
      <c r="S1190" s="10"/>
    </row>
    <row r="1191" spans="3:19" s="19" customFormat="1" x14ac:dyDescent="0.2">
      <c r="C1191" s="29"/>
      <c r="E1191" s="10"/>
      <c r="H1191" s="10"/>
      <c r="K1191" s="10"/>
      <c r="N1191" s="10"/>
      <c r="O1191" s="20"/>
      <c r="P1191" s="20"/>
      <c r="R1191" s="20"/>
      <c r="S1191" s="10"/>
    </row>
    <row r="1192" spans="3:19" s="19" customFormat="1" x14ac:dyDescent="0.2">
      <c r="C1192" s="29"/>
      <c r="E1192" s="10"/>
      <c r="H1192" s="10"/>
      <c r="K1192" s="10"/>
      <c r="N1192" s="10"/>
      <c r="O1192" s="20"/>
      <c r="P1192" s="20"/>
      <c r="R1192" s="20"/>
      <c r="S1192" s="10"/>
    </row>
    <row r="1193" spans="3:19" s="19" customFormat="1" x14ac:dyDescent="0.2">
      <c r="C1193" s="29"/>
      <c r="E1193" s="10"/>
      <c r="H1193" s="10"/>
      <c r="K1193" s="10"/>
      <c r="N1193" s="10"/>
      <c r="O1193" s="20"/>
      <c r="P1193" s="20"/>
      <c r="R1193" s="20"/>
      <c r="S1193" s="10"/>
    </row>
    <row r="1194" spans="3:19" s="19" customFormat="1" x14ac:dyDescent="0.2">
      <c r="C1194" s="29"/>
      <c r="E1194" s="10"/>
      <c r="H1194" s="10"/>
      <c r="K1194" s="10"/>
      <c r="N1194" s="10"/>
      <c r="O1194" s="20"/>
      <c r="P1194" s="20"/>
      <c r="R1194" s="20"/>
      <c r="S1194" s="10"/>
    </row>
    <row r="1195" spans="3:19" s="19" customFormat="1" x14ac:dyDescent="0.2">
      <c r="C1195" s="29"/>
      <c r="E1195" s="10"/>
      <c r="H1195" s="10"/>
      <c r="K1195" s="10"/>
      <c r="N1195" s="10"/>
      <c r="O1195" s="20"/>
      <c r="P1195" s="20"/>
      <c r="R1195" s="20"/>
      <c r="S1195" s="10"/>
    </row>
    <row r="1196" spans="3:19" s="19" customFormat="1" x14ac:dyDescent="0.2">
      <c r="C1196" s="29"/>
      <c r="E1196" s="10"/>
      <c r="H1196" s="10"/>
      <c r="K1196" s="10"/>
      <c r="N1196" s="10"/>
      <c r="O1196" s="20"/>
      <c r="P1196" s="20"/>
      <c r="R1196" s="20"/>
      <c r="S1196" s="10"/>
    </row>
    <row r="1197" spans="3:19" s="19" customFormat="1" x14ac:dyDescent="0.2">
      <c r="C1197" s="29"/>
      <c r="E1197" s="10"/>
      <c r="H1197" s="10"/>
      <c r="K1197" s="10"/>
      <c r="N1197" s="10"/>
      <c r="O1197" s="20"/>
      <c r="P1197" s="20"/>
      <c r="R1197" s="20"/>
      <c r="S1197" s="10"/>
    </row>
    <row r="1198" spans="3:19" s="19" customFormat="1" x14ac:dyDescent="0.2">
      <c r="C1198" s="29"/>
      <c r="E1198" s="10"/>
      <c r="H1198" s="10"/>
      <c r="K1198" s="10"/>
      <c r="N1198" s="10"/>
      <c r="O1198" s="20"/>
      <c r="P1198" s="20"/>
      <c r="R1198" s="20"/>
      <c r="S1198" s="10"/>
    </row>
    <row r="1199" spans="3:19" s="19" customFormat="1" x14ac:dyDescent="0.2">
      <c r="C1199" s="29"/>
      <c r="E1199" s="10"/>
      <c r="H1199" s="10"/>
      <c r="K1199" s="10"/>
      <c r="N1199" s="10"/>
      <c r="O1199" s="20"/>
      <c r="P1199" s="20"/>
      <c r="R1199" s="20"/>
      <c r="S1199" s="10"/>
    </row>
    <row r="1200" spans="3:19" s="19" customFormat="1" x14ac:dyDescent="0.2">
      <c r="C1200" s="29"/>
      <c r="E1200" s="10"/>
      <c r="H1200" s="10"/>
      <c r="K1200" s="10"/>
      <c r="N1200" s="10"/>
      <c r="O1200" s="20"/>
      <c r="P1200" s="20"/>
      <c r="R1200" s="20"/>
      <c r="S1200" s="10"/>
    </row>
    <row r="1201" spans="3:19" s="19" customFormat="1" x14ac:dyDescent="0.2">
      <c r="C1201" s="29"/>
      <c r="E1201" s="10"/>
      <c r="H1201" s="10"/>
      <c r="K1201" s="10"/>
      <c r="N1201" s="10"/>
      <c r="O1201" s="20"/>
      <c r="P1201" s="20"/>
      <c r="R1201" s="20"/>
      <c r="S1201" s="10"/>
    </row>
    <row r="1202" spans="3:19" s="19" customFormat="1" x14ac:dyDescent="0.2">
      <c r="C1202" s="29"/>
      <c r="E1202" s="10"/>
      <c r="H1202" s="10"/>
      <c r="K1202" s="10"/>
      <c r="N1202" s="10"/>
      <c r="O1202" s="20"/>
      <c r="P1202" s="20"/>
      <c r="R1202" s="20"/>
      <c r="S1202" s="10"/>
    </row>
    <row r="1203" spans="3:19" s="19" customFormat="1" x14ac:dyDescent="0.2">
      <c r="C1203" s="29"/>
      <c r="E1203" s="10"/>
      <c r="H1203" s="10"/>
      <c r="K1203" s="10"/>
      <c r="N1203" s="10"/>
      <c r="O1203" s="20"/>
      <c r="P1203" s="20"/>
      <c r="R1203" s="20"/>
      <c r="S1203" s="10"/>
    </row>
    <row r="1204" spans="3:19" s="19" customFormat="1" x14ac:dyDescent="0.2">
      <c r="C1204" s="29"/>
      <c r="E1204" s="10"/>
      <c r="H1204" s="10"/>
      <c r="K1204" s="10"/>
      <c r="N1204" s="10"/>
      <c r="O1204" s="20"/>
      <c r="P1204" s="20"/>
      <c r="R1204" s="20"/>
      <c r="S1204" s="10"/>
    </row>
    <row r="1205" spans="3:19" s="19" customFormat="1" x14ac:dyDescent="0.2">
      <c r="C1205" s="29"/>
      <c r="E1205" s="10"/>
      <c r="H1205" s="10"/>
      <c r="K1205" s="10"/>
      <c r="N1205" s="10"/>
      <c r="O1205" s="20"/>
      <c r="P1205" s="20"/>
      <c r="R1205" s="20"/>
      <c r="S1205" s="10"/>
    </row>
    <row r="1206" spans="3:19" s="19" customFormat="1" x14ac:dyDescent="0.2">
      <c r="C1206" s="29"/>
      <c r="E1206" s="10"/>
      <c r="H1206" s="10"/>
      <c r="K1206" s="10"/>
      <c r="N1206" s="10"/>
      <c r="O1206" s="20"/>
      <c r="P1206" s="20"/>
      <c r="R1206" s="20"/>
      <c r="S1206" s="10"/>
    </row>
    <row r="1207" spans="3:19" s="19" customFormat="1" x14ac:dyDescent="0.2">
      <c r="C1207" s="29"/>
      <c r="E1207" s="10"/>
      <c r="H1207" s="10"/>
      <c r="K1207" s="10"/>
      <c r="N1207" s="10"/>
      <c r="O1207" s="20"/>
      <c r="P1207" s="20"/>
      <c r="R1207" s="20"/>
      <c r="S1207" s="10"/>
    </row>
    <row r="1208" spans="3:19" s="19" customFormat="1" x14ac:dyDescent="0.2">
      <c r="C1208" s="29"/>
      <c r="E1208" s="10"/>
      <c r="H1208" s="10"/>
      <c r="K1208" s="10"/>
      <c r="N1208" s="10"/>
      <c r="O1208" s="20"/>
      <c r="P1208" s="20"/>
      <c r="R1208" s="20"/>
      <c r="S1208" s="10"/>
    </row>
    <row r="1209" spans="3:19" s="19" customFormat="1" x14ac:dyDescent="0.2">
      <c r="C1209" s="29"/>
      <c r="E1209" s="10"/>
      <c r="H1209" s="10"/>
      <c r="K1209" s="10"/>
      <c r="N1209" s="10"/>
      <c r="O1209" s="20"/>
      <c r="P1209" s="20"/>
      <c r="R1209" s="20"/>
      <c r="S1209" s="10"/>
    </row>
    <row r="1210" spans="3:19" s="19" customFormat="1" x14ac:dyDescent="0.2">
      <c r="C1210" s="29"/>
      <c r="E1210" s="10"/>
      <c r="H1210" s="10"/>
      <c r="K1210" s="10"/>
      <c r="N1210" s="10"/>
      <c r="O1210" s="20"/>
      <c r="P1210" s="20"/>
      <c r="R1210" s="20"/>
      <c r="S1210" s="10"/>
    </row>
    <row r="1211" spans="3:19" s="19" customFormat="1" x14ac:dyDescent="0.2">
      <c r="C1211" s="29"/>
      <c r="E1211" s="10"/>
      <c r="H1211" s="10"/>
      <c r="K1211" s="10"/>
      <c r="N1211" s="10"/>
      <c r="O1211" s="20"/>
      <c r="P1211" s="20"/>
      <c r="R1211" s="20"/>
      <c r="S1211" s="10"/>
    </row>
    <row r="1212" spans="3:19" s="19" customFormat="1" x14ac:dyDescent="0.2">
      <c r="C1212" s="29"/>
      <c r="E1212" s="10"/>
      <c r="H1212" s="10"/>
      <c r="K1212" s="10"/>
      <c r="N1212" s="10"/>
      <c r="O1212" s="20"/>
      <c r="P1212" s="20"/>
      <c r="R1212" s="20"/>
      <c r="S1212" s="10"/>
    </row>
    <row r="1213" spans="3:19" s="19" customFormat="1" x14ac:dyDescent="0.2">
      <c r="C1213" s="29"/>
      <c r="E1213" s="10"/>
      <c r="H1213" s="10"/>
      <c r="K1213" s="10"/>
      <c r="N1213" s="10"/>
      <c r="O1213" s="20"/>
      <c r="P1213" s="20"/>
      <c r="R1213" s="20"/>
      <c r="S1213" s="10"/>
    </row>
    <row r="1214" spans="3:19" s="19" customFormat="1" x14ac:dyDescent="0.2">
      <c r="C1214" s="29"/>
      <c r="E1214" s="10"/>
      <c r="H1214" s="10"/>
      <c r="K1214" s="10"/>
      <c r="N1214" s="10"/>
      <c r="O1214" s="20"/>
      <c r="P1214" s="20"/>
      <c r="R1214" s="20"/>
      <c r="S1214" s="10"/>
    </row>
    <row r="1215" spans="3:19" s="19" customFormat="1" x14ac:dyDescent="0.2">
      <c r="C1215" s="29"/>
      <c r="E1215" s="10"/>
      <c r="H1215" s="10"/>
      <c r="K1215" s="10"/>
      <c r="N1215" s="10"/>
      <c r="O1215" s="20"/>
      <c r="P1215" s="20"/>
      <c r="R1215" s="20"/>
      <c r="S1215" s="10"/>
    </row>
    <row r="1216" spans="3:19" s="19" customFormat="1" x14ac:dyDescent="0.2">
      <c r="C1216" s="29"/>
      <c r="E1216" s="10"/>
      <c r="H1216" s="10"/>
      <c r="K1216" s="10"/>
      <c r="N1216" s="10"/>
      <c r="O1216" s="20"/>
      <c r="P1216" s="20"/>
      <c r="R1216" s="20"/>
      <c r="S1216" s="10"/>
    </row>
    <row r="1217" spans="3:19" s="19" customFormat="1" x14ac:dyDescent="0.2">
      <c r="C1217" s="29"/>
      <c r="E1217" s="10"/>
      <c r="H1217" s="10"/>
      <c r="K1217" s="10"/>
      <c r="N1217" s="10"/>
      <c r="O1217" s="20"/>
      <c r="P1217" s="20"/>
      <c r="R1217" s="20"/>
      <c r="S1217" s="10"/>
    </row>
    <row r="1218" spans="3:19" s="19" customFormat="1" x14ac:dyDescent="0.2">
      <c r="C1218" s="29"/>
      <c r="E1218" s="10"/>
      <c r="H1218" s="10"/>
      <c r="K1218" s="10"/>
      <c r="N1218" s="10"/>
      <c r="O1218" s="20"/>
      <c r="P1218" s="20"/>
      <c r="R1218" s="20"/>
      <c r="S1218" s="10"/>
    </row>
    <row r="1219" spans="3:19" s="19" customFormat="1" x14ac:dyDescent="0.2">
      <c r="C1219" s="29"/>
      <c r="E1219" s="10"/>
      <c r="H1219" s="10"/>
      <c r="K1219" s="10"/>
      <c r="N1219" s="10"/>
      <c r="O1219" s="20"/>
      <c r="P1219" s="20"/>
      <c r="R1219" s="20"/>
      <c r="S1219" s="10"/>
    </row>
    <row r="1220" spans="3:19" s="19" customFormat="1" x14ac:dyDescent="0.2">
      <c r="C1220" s="29"/>
      <c r="E1220" s="10"/>
      <c r="H1220" s="10"/>
      <c r="K1220" s="10"/>
      <c r="N1220" s="10"/>
      <c r="O1220" s="20"/>
      <c r="P1220" s="20"/>
      <c r="R1220" s="20"/>
      <c r="S1220" s="10"/>
    </row>
    <row r="1221" spans="3:19" s="19" customFormat="1" x14ac:dyDescent="0.2">
      <c r="C1221" s="29"/>
      <c r="E1221" s="10"/>
      <c r="H1221" s="10"/>
      <c r="K1221" s="10"/>
      <c r="N1221" s="10"/>
      <c r="O1221" s="20"/>
      <c r="P1221" s="20"/>
      <c r="R1221" s="20"/>
      <c r="S1221" s="10"/>
    </row>
    <row r="1222" spans="3:19" s="19" customFormat="1" x14ac:dyDescent="0.2">
      <c r="C1222" s="29"/>
      <c r="E1222" s="10"/>
      <c r="H1222" s="10"/>
      <c r="K1222" s="10"/>
      <c r="N1222" s="10"/>
      <c r="O1222" s="20"/>
      <c r="P1222" s="20"/>
      <c r="R1222" s="20"/>
      <c r="S1222" s="10"/>
    </row>
    <row r="1223" spans="3:19" s="19" customFormat="1" x14ac:dyDescent="0.2">
      <c r="C1223" s="29"/>
      <c r="E1223" s="10"/>
      <c r="H1223" s="10"/>
      <c r="K1223" s="10"/>
      <c r="N1223" s="10"/>
      <c r="O1223" s="20"/>
      <c r="P1223" s="20"/>
      <c r="R1223" s="20"/>
      <c r="S1223" s="10"/>
    </row>
    <row r="1224" spans="3:19" s="19" customFormat="1" x14ac:dyDescent="0.2">
      <c r="C1224" s="29"/>
      <c r="E1224" s="10"/>
      <c r="H1224" s="10"/>
      <c r="K1224" s="10"/>
      <c r="N1224" s="10"/>
      <c r="O1224" s="20"/>
      <c r="P1224" s="20"/>
      <c r="R1224" s="20"/>
      <c r="S1224" s="10"/>
    </row>
    <row r="1225" spans="3:19" s="19" customFormat="1" x14ac:dyDescent="0.2">
      <c r="C1225" s="29"/>
      <c r="E1225" s="10"/>
      <c r="H1225" s="10"/>
      <c r="K1225" s="10"/>
      <c r="N1225" s="10"/>
      <c r="O1225" s="20"/>
      <c r="P1225" s="20"/>
      <c r="R1225" s="20"/>
      <c r="S1225" s="10"/>
    </row>
    <row r="1226" spans="3:19" s="19" customFormat="1" x14ac:dyDescent="0.2">
      <c r="C1226" s="29"/>
      <c r="E1226" s="10"/>
      <c r="H1226" s="10"/>
      <c r="K1226" s="10"/>
      <c r="N1226" s="10"/>
      <c r="O1226" s="20"/>
      <c r="P1226" s="20"/>
      <c r="R1226" s="20"/>
      <c r="S1226" s="10"/>
    </row>
    <row r="1227" spans="3:19" s="19" customFormat="1" x14ac:dyDescent="0.2">
      <c r="C1227" s="29"/>
      <c r="E1227" s="10"/>
      <c r="H1227" s="10"/>
      <c r="K1227" s="10"/>
      <c r="N1227" s="10"/>
      <c r="O1227" s="20"/>
      <c r="P1227" s="20"/>
      <c r="R1227" s="20"/>
      <c r="S1227" s="10"/>
    </row>
    <row r="1228" spans="3:19" s="19" customFormat="1" x14ac:dyDescent="0.2">
      <c r="C1228" s="29"/>
      <c r="E1228" s="10"/>
      <c r="H1228" s="10"/>
      <c r="K1228" s="10"/>
      <c r="N1228" s="10"/>
      <c r="O1228" s="20"/>
      <c r="P1228" s="20"/>
      <c r="R1228" s="20"/>
      <c r="S1228" s="10"/>
    </row>
    <row r="1229" spans="3:19" s="19" customFormat="1" x14ac:dyDescent="0.2">
      <c r="C1229" s="29"/>
      <c r="E1229" s="10"/>
      <c r="H1229" s="10"/>
      <c r="K1229" s="10"/>
      <c r="N1229" s="10"/>
      <c r="O1229" s="20"/>
      <c r="P1229" s="20"/>
      <c r="R1229" s="20"/>
      <c r="S1229" s="10"/>
    </row>
    <row r="1230" spans="3:19" s="19" customFormat="1" x14ac:dyDescent="0.2">
      <c r="C1230" s="29"/>
      <c r="E1230" s="10"/>
      <c r="H1230" s="10"/>
      <c r="K1230" s="10"/>
      <c r="N1230" s="10"/>
      <c r="O1230" s="20"/>
      <c r="P1230" s="20"/>
      <c r="R1230" s="20"/>
      <c r="S1230" s="10"/>
    </row>
    <row r="1231" spans="3:19" s="19" customFormat="1" x14ac:dyDescent="0.2">
      <c r="C1231" s="29"/>
      <c r="E1231" s="10"/>
      <c r="H1231" s="10"/>
      <c r="K1231" s="10"/>
      <c r="N1231" s="10"/>
      <c r="O1231" s="20"/>
      <c r="P1231" s="20"/>
      <c r="R1231" s="20"/>
      <c r="S1231" s="10"/>
    </row>
    <row r="1232" spans="3:19" s="19" customFormat="1" x14ac:dyDescent="0.2">
      <c r="C1232" s="29"/>
      <c r="E1232" s="10"/>
      <c r="H1232" s="10"/>
      <c r="K1232" s="10"/>
      <c r="N1232" s="10"/>
      <c r="O1232" s="20"/>
      <c r="P1232" s="20"/>
      <c r="R1232" s="20"/>
      <c r="S1232" s="10"/>
    </row>
    <row r="1233" spans="3:19" s="19" customFormat="1" x14ac:dyDescent="0.2">
      <c r="C1233" s="29"/>
      <c r="E1233" s="10"/>
      <c r="H1233" s="10"/>
      <c r="K1233" s="10"/>
      <c r="N1233" s="10"/>
      <c r="O1233" s="20"/>
      <c r="P1233" s="20"/>
      <c r="R1233" s="20"/>
      <c r="S1233" s="10"/>
    </row>
    <row r="1234" spans="3:19" s="19" customFormat="1" x14ac:dyDescent="0.2">
      <c r="C1234" s="29"/>
      <c r="E1234" s="10"/>
      <c r="H1234" s="10"/>
      <c r="K1234" s="10"/>
      <c r="N1234" s="10"/>
      <c r="O1234" s="20"/>
      <c r="P1234" s="20"/>
      <c r="R1234" s="20"/>
      <c r="S1234" s="10"/>
    </row>
    <row r="1235" spans="3:19" s="19" customFormat="1" x14ac:dyDescent="0.2">
      <c r="C1235" s="29"/>
      <c r="E1235" s="10"/>
      <c r="H1235" s="10"/>
      <c r="K1235" s="10"/>
      <c r="N1235" s="10"/>
      <c r="O1235" s="20"/>
      <c r="P1235" s="20"/>
      <c r="R1235" s="20"/>
      <c r="S1235" s="10"/>
    </row>
    <row r="1236" spans="3:19" s="19" customFormat="1" x14ac:dyDescent="0.2">
      <c r="C1236" s="29"/>
      <c r="E1236" s="10"/>
      <c r="H1236" s="10"/>
      <c r="K1236" s="10"/>
      <c r="N1236" s="10"/>
      <c r="O1236" s="20"/>
      <c r="P1236" s="20"/>
      <c r="R1236" s="20"/>
      <c r="S1236" s="10"/>
    </row>
    <row r="1237" spans="3:19" s="19" customFormat="1" x14ac:dyDescent="0.2">
      <c r="C1237" s="29"/>
      <c r="E1237" s="10"/>
      <c r="H1237" s="10"/>
      <c r="K1237" s="10"/>
      <c r="N1237" s="10"/>
      <c r="O1237" s="20"/>
      <c r="P1237" s="20"/>
      <c r="R1237" s="20"/>
      <c r="S1237" s="10"/>
    </row>
    <row r="1238" spans="3:19" s="19" customFormat="1" x14ac:dyDescent="0.2">
      <c r="C1238" s="29"/>
      <c r="E1238" s="10"/>
      <c r="H1238" s="10"/>
      <c r="K1238" s="10"/>
      <c r="N1238" s="10"/>
      <c r="O1238" s="20"/>
      <c r="P1238" s="20"/>
      <c r="R1238" s="20"/>
      <c r="S1238" s="10"/>
    </row>
    <row r="1239" spans="3:19" s="19" customFormat="1" x14ac:dyDescent="0.2">
      <c r="C1239" s="29"/>
      <c r="E1239" s="10"/>
      <c r="H1239" s="10"/>
      <c r="K1239" s="10"/>
      <c r="N1239" s="10"/>
      <c r="O1239" s="20"/>
      <c r="P1239" s="20"/>
      <c r="R1239" s="20"/>
      <c r="S1239" s="10"/>
    </row>
    <row r="1240" spans="3:19" s="19" customFormat="1" x14ac:dyDescent="0.2">
      <c r="C1240" s="29"/>
      <c r="E1240" s="10"/>
      <c r="H1240" s="10"/>
      <c r="K1240" s="10"/>
      <c r="N1240" s="10"/>
      <c r="O1240" s="20"/>
      <c r="P1240" s="20"/>
      <c r="R1240" s="20"/>
      <c r="S1240" s="10"/>
    </row>
    <row r="1241" spans="3:19" s="19" customFormat="1" x14ac:dyDescent="0.2">
      <c r="C1241" s="29"/>
      <c r="E1241" s="10"/>
      <c r="H1241" s="10"/>
      <c r="K1241" s="10"/>
      <c r="N1241" s="10"/>
      <c r="O1241" s="20"/>
      <c r="P1241" s="20"/>
      <c r="R1241" s="20"/>
      <c r="S1241" s="10"/>
    </row>
    <row r="1242" spans="3:19" s="19" customFormat="1" x14ac:dyDescent="0.2">
      <c r="C1242" s="29"/>
      <c r="E1242" s="10"/>
      <c r="H1242" s="10"/>
      <c r="K1242" s="10"/>
      <c r="N1242" s="10"/>
      <c r="O1242" s="20"/>
      <c r="P1242" s="20"/>
      <c r="R1242" s="20"/>
      <c r="S1242" s="10"/>
    </row>
    <row r="1243" spans="3:19" s="19" customFormat="1" x14ac:dyDescent="0.2">
      <c r="C1243" s="29"/>
      <c r="E1243" s="10"/>
      <c r="H1243" s="10"/>
      <c r="K1243" s="10"/>
      <c r="N1243" s="10"/>
      <c r="O1243" s="20"/>
      <c r="P1243" s="20"/>
      <c r="R1243" s="20"/>
      <c r="S1243" s="10"/>
    </row>
    <row r="1244" spans="3:19" s="19" customFormat="1" x14ac:dyDescent="0.2">
      <c r="C1244" s="29"/>
      <c r="E1244" s="10"/>
      <c r="H1244" s="10"/>
      <c r="K1244" s="10"/>
      <c r="N1244" s="10"/>
      <c r="O1244" s="20"/>
      <c r="P1244" s="20"/>
      <c r="R1244" s="20"/>
      <c r="S1244" s="10"/>
    </row>
    <row r="1245" spans="3:19" s="19" customFormat="1" x14ac:dyDescent="0.2">
      <c r="C1245" s="29"/>
      <c r="E1245" s="10"/>
      <c r="H1245" s="10"/>
      <c r="K1245" s="10"/>
      <c r="N1245" s="10"/>
      <c r="O1245" s="20"/>
      <c r="P1245" s="20"/>
      <c r="R1245" s="20"/>
      <c r="S1245" s="10"/>
    </row>
    <row r="1246" spans="3:19" s="19" customFormat="1" x14ac:dyDescent="0.2">
      <c r="C1246" s="29"/>
      <c r="E1246" s="10"/>
      <c r="H1246" s="10"/>
      <c r="K1246" s="10"/>
      <c r="N1246" s="10"/>
      <c r="O1246" s="20"/>
      <c r="P1246" s="20"/>
      <c r="R1246" s="20"/>
      <c r="S1246" s="10"/>
    </row>
    <row r="1247" spans="3:19" s="19" customFormat="1" x14ac:dyDescent="0.2">
      <c r="C1247" s="29"/>
      <c r="E1247" s="10"/>
      <c r="H1247" s="10"/>
      <c r="K1247" s="10"/>
      <c r="N1247" s="10"/>
      <c r="O1247" s="20"/>
      <c r="P1247" s="20"/>
      <c r="R1247" s="20"/>
      <c r="S1247" s="10"/>
    </row>
    <row r="1248" spans="3:19" s="19" customFormat="1" x14ac:dyDescent="0.2">
      <c r="C1248" s="29"/>
      <c r="E1248" s="10"/>
      <c r="H1248" s="10"/>
      <c r="K1248" s="10"/>
      <c r="N1248" s="10"/>
      <c r="O1248" s="20"/>
      <c r="P1248" s="20"/>
      <c r="R1248" s="20"/>
      <c r="S1248" s="10"/>
    </row>
    <row r="1249" spans="3:19" s="19" customFormat="1" x14ac:dyDescent="0.2">
      <c r="C1249" s="29"/>
      <c r="E1249" s="10"/>
      <c r="H1249" s="10"/>
      <c r="K1249" s="10"/>
      <c r="N1249" s="10"/>
      <c r="O1249" s="20"/>
      <c r="P1249" s="20"/>
      <c r="R1249" s="20"/>
      <c r="S1249" s="10"/>
    </row>
    <row r="1250" spans="3:19" s="19" customFormat="1" x14ac:dyDescent="0.2">
      <c r="C1250" s="29"/>
      <c r="E1250" s="10"/>
      <c r="H1250" s="10"/>
      <c r="K1250" s="10"/>
      <c r="N1250" s="10"/>
      <c r="O1250" s="20"/>
      <c r="P1250" s="20"/>
      <c r="R1250" s="20"/>
      <c r="S1250" s="10"/>
    </row>
    <row r="1251" spans="3:19" s="19" customFormat="1" x14ac:dyDescent="0.2">
      <c r="C1251" s="29"/>
      <c r="E1251" s="10"/>
      <c r="H1251" s="10"/>
      <c r="K1251" s="10"/>
      <c r="N1251" s="10"/>
      <c r="O1251" s="20"/>
      <c r="P1251" s="20"/>
      <c r="R1251" s="20"/>
      <c r="S1251" s="10"/>
    </row>
    <row r="1252" spans="3:19" s="19" customFormat="1" x14ac:dyDescent="0.2">
      <c r="C1252" s="29"/>
      <c r="E1252" s="10"/>
      <c r="H1252" s="10"/>
      <c r="K1252" s="10"/>
      <c r="N1252" s="10"/>
      <c r="O1252" s="20"/>
      <c r="P1252" s="20"/>
      <c r="R1252" s="20"/>
      <c r="S1252" s="10"/>
    </row>
    <row r="1253" spans="3:19" s="19" customFormat="1" x14ac:dyDescent="0.2">
      <c r="C1253" s="29"/>
      <c r="E1253" s="10"/>
      <c r="H1253" s="10"/>
      <c r="K1253" s="10"/>
      <c r="N1253" s="10"/>
      <c r="O1253" s="20"/>
      <c r="P1253" s="20"/>
      <c r="R1253" s="20"/>
      <c r="S1253" s="10"/>
    </row>
    <row r="1254" spans="3:19" s="19" customFormat="1" x14ac:dyDescent="0.2">
      <c r="C1254" s="29"/>
      <c r="E1254" s="10"/>
      <c r="H1254" s="10"/>
      <c r="K1254" s="10"/>
      <c r="N1254" s="10"/>
      <c r="O1254" s="20"/>
      <c r="P1254" s="20"/>
      <c r="R1254" s="20"/>
      <c r="S1254" s="10"/>
    </row>
    <row r="1255" spans="3:19" s="19" customFormat="1" x14ac:dyDescent="0.2">
      <c r="C1255" s="29"/>
      <c r="E1255" s="10"/>
      <c r="H1255" s="10"/>
      <c r="K1255" s="10"/>
      <c r="N1255" s="10"/>
      <c r="O1255" s="20"/>
      <c r="P1255" s="20"/>
      <c r="R1255" s="20"/>
      <c r="S1255" s="10"/>
    </row>
    <row r="1256" spans="3:19" s="19" customFormat="1" x14ac:dyDescent="0.2">
      <c r="C1256" s="29"/>
      <c r="E1256" s="10"/>
      <c r="H1256" s="10"/>
      <c r="K1256" s="10"/>
      <c r="N1256" s="10"/>
      <c r="O1256" s="20"/>
      <c r="P1256" s="20"/>
      <c r="R1256" s="20"/>
      <c r="S1256" s="10"/>
    </row>
    <row r="1257" spans="3:19" s="19" customFormat="1" x14ac:dyDescent="0.2">
      <c r="C1257" s="29"/>
      <c r="E1257" s="10"/>
      <c r="H1257" s="10"/>
      <c r="K1257" s="10"/>
      <c r="N1257" s="10"/>
      <c r="O1257" s="20"/>
      <c r="P1257" s="20"/>
      <c r="R1257" s="20"/>
      <c r="S1257" s="10"/>
    </row>
    <row r="1258" spans="3:19" s="19" customFormat="1" x14ac:dyDescent="0.2">
      <c r="C1258" s="29"/>
      <c r="E1258" s="10"/>
      <c r="H1258" s="10"/>
      <c r="K1258" s="10"/>
      <c r="N1258" s="10"/>
      <c r="O1258" s="20"/>
      <c r="P1258" s="20"/>
      <c r="R1258" s="20"/>
      <c r="S1258" s="10"/>
    </row>
    <row r="1259" spans="3:19" s="19" customFormat="1" x14ac:dyDescent="0.2">
      <c r="C1259" s="29"/>
      <c r="E1259" s="10"/>
      <c r="H1259" s="10"/>
      <c r="K1259" s="10"/>
      <c r="N1259" s="10"/>
      <c r="O1259" s="20"/>
      <c r="P1259" s="20"/>
      <c r="R1259" s="20"/>
      <c r="S1259" s="10"/>
    </row>
    <row r="1260" spans="3:19" s="19" customFormat="1" x14ac:dyDescent="0.2">
      <c r="C1260" s="29"/>
      <c r="E1260" s="10"/>
      <c r="H1260" s="10"/>
      <c r="K1260" s="10"/>
      <c r="N1260" s="10"/>
      <c r="O1260" s="20"/>
      <c r="P1260" s="20"/>
      <c r="R1260" s="20"/>
      <c r="S1260" s="10"/>
    </row>
    <row r="1261" spans="3:19" s="19" customFormat="1" x14ac:dyDescent="0.2">
      <c r="C1261" s="29"/>
      <c r="E1261" s="10"/>
      <c r="H1261" s="10"/>
      <c r="K1261" s="10"/>
      <c r="N1261" s="10"/>
      <c r="O1261" s="20"/>
      <c r="P1261" s="20"/>
      <c r="R1261" s="20"/>
      <c r="S1261" s="10"/>
    </row>
    <row r="1262" spans="3:19" s="19" customFormat="1" x14ac:dyDescent="0.2">
      <c r="C1262" s="29"/>
      <c r="E1262" s="10"/>
      <c r="H1262" s="10"/>
      <c r="K1262" s="10"/>
      <c r="N1262" s="10"/>
      <c r="O1262" s="20"/>
      <c r="P1262" s="20"/>
      <c r="R1262" s="20"/>
      <c r="S1262" s="10"/>
    </row>
    <row r="1263" spans="3:19" s="19" customFormat="1" x14ac:dyDescent="0.2">
      <c r="C1263" s="29"/>
      <c r="E1263" s="10"/>
      <c r="H1263" s="10"/>
      <c r="K1263" s="10"/>
      <c r="N1263" s="10"/>
      <c r="O1263" s="20"/>
      <c r="P1263" s="20"/>
      <c r="R1263" s="20"/>
      <c r="S1263" s="10"/>
    </row>
    <row r="1264" spans="3:19" s="19" customFormat="1" x14ac:dyDescent="0.2">
      <c r="C1264" s="29"/>
      <c r="E1264" s="10"/>
      <c r="H1264" s="10"/>
      <c r="K1264" s="10"/>
      <c r="N1264" s="10"/>
      <c r="O1264" s="20"/>
      <c r="P1264" s="20"/>
      <c r="R1264" s="20"/>
      <c r="S1264" s="10"/>
    </row>
    <row r="1265" spans="3:19" s="19" customFormat="1" x14ac:dyDescent="0.2">
      <c r="C1265" s="29"/>
      <c r="E1265" s="10"/>
      <c r="H1265" s="10"/>
      <c r="K1265" s="10"/>
      <c r="N1265" s="10"/>
      <c r="O1265" s="20"/>
      <c r="P1265" s="20"/>
      <c r="R1265" s="20"/>
      <c r="S1265" s="10"/>
    </row>
    <row r="1266" spans="3:19" s="19" customFormat="1" x14ac:dyDescent="0.2">
      <c r="C1266" s="29"/>
      <c r="E1266" s="10"/>
      <c r="H1266" s="10"/>
      <c r="K1266" s="10"/>
      <c r="N1266" s="10"/>
      <c r="O1266" s="20"/>
      <c r="P1266" s="20"/>
      <c r="R1266" s="20"/>
      <c r="S1266" s="10"/>
    </row>
    <row r="1267" spans="3:19" s="19" customFormat="1" x14ac:dyDescent="0.2">
      <c r="C1267" s="29"/>
      <c r="E1267" s="10"/>
      <c r="H1267" s="10"/>
      <c r="K1267" s="10"/>
      <c r="N1267" s="10"/>
      <c r="O1267" s="20"/>
      <c r="P1267" s="20"/>
      <c r="R1267" s="20"/>
      <c r="S1267" s="10"/>
    </row>
    <row r="1268" spans="3:19" s="19" customFormat="1" x14ac:dyDescent="0.2">
      <c r="C1268" s="29"/>
      <c r="E1268" s="10"/>
      <c r="H1268" s="10"/>
      <c r="K1268" s="10"/>
      <c r="N1268" s="10"/>
      <c r="O1268" s="20"/>
      <c r="P1268" s="20"/>
      <c r="R1268" s="20"/>
      <c r="S1268" s="10"/>
    </row>
    <row r="1269" spans="3:19" s="19" customFormat="1" x14ac:dyDescent="0.2">
      <c r="C1269" s="29"/>
      <c r="E1269" s="10"/>
      <c r="H1269" s="10"/>
      <c r="K1269" s="10"/>
      <c r="N1269" s="10"/>
      <c r="O1269" s="20"/>
      <c r="P1269" s="20"/>
      <c r="R1269" s="20"/>
      <c r="S1269" s="10"/>
    </row>
    <row r="1270" spans="3:19" s="19" customFormat="1" x14ac:dyDescent="0.2">
      <c r="C1270" s="29"/>
      <c r="E1270" s="10"/>
      <c r="H1270" s="10"/>
      <c r="K1270" s="10"/>
      <c r="N1270" s="10"/>
      <c r="O1270" s="20"/>
      <c r="P1270" s="20"/>
      <c r="R1270" s="20"/>
      <c r="S1270" s="10"/>
    </row>
    <row r="1271" spans="3:19" s="19" customFormat="1" x14ac:dyDescent="0.2">
      <c r="C1271" s="29"/>
      <c r="E1271" s="10"/>
      <c r="H1271" s="10"/>
      <c r="K1271" s="10"/>
      <c r="N1271" s="10"/>
      <c r="O1271" s="20"/>
      <c r="P1271" s="20"/>
      <c r="R1271" s="20"/>
      <c r="S1271" s="10"/>
    </row>
    <row r="1272" spans="3:19" s="19" customFormat="1" x14ac:dyDescent="0.2">
      <c r="C1272" s="29"/>
      <c r="E1272" s="10"/>
      <c r="H1272" s="10"/>
      <c r="K1272" s="10"/>
      <c r="N1272" s="10"/>
      <c r="O1272" s="20"/>
      <c r="P1272" s="20"/>
      <c r="R1272" s="20"/>
      <c r="S1272" s="10"/>
    </row>
    <row r="1273" spans="3:19" s="19" customFormat="1" x14ac:dyDescent="0.2">
      <c r="C1273" s="29"/>
      <c r="E1273" s="10"/>
      <c r="H1273" s="10"/>
      <c r="K1273" s="10"/>
      <c r="N1273" s="10"/>
      <c r="O1273" s="20"/>
      <c r="P1273" s="20"/>
      <c r="R1273" s="20"/>
      <c r="S1273" s="10"/>
    </row>
    <row r="1274" spans="3:19" s="19" customFormat="1" x14ac:dyDescent="0.2">
      <c r="C1274" s="29"/>
      <c r="E1274" s="10"/>
      <c r="H1274" s="10"/>
      <c r="K1274" s="10"/>
      <c r="N1274" s="10"/>
      <c r="O1274" s="20"/>
      <c r="P1274" s="20"/>
      <c r="R1274" s="20"/>
      <c r="S1274" s="10"/>
    </row>
    <row r="1275" spans="3:19" s="19" customFormat="1" x14ac:dyDescent="0.2">
      <c r="C1275" s="29"/>
      <c r="E1275" s="10"/>
      <c r="H1275" s="10"/>
      <c r="K1275" s="10"/>
      <c r="N1275" s="10"/>
      <c r="O1275" s="20"/>
      <c r="P1275" s="20"/>
      <c r="R1275" s="20"/>
      <c r="S1275" s="10"/>
    </row>
    <row r="1276" spans="3:19" s="19" customFormat="1" x14ac:dyDescent="0.2">
      <c r="C1276" s="29"/>
      <c r="E1276" s="10"/>
      <c r="H1276" s="10"/>
      <c r="K1276" s="10"/>
      <c r="N1276" s="10"/>
      <c r="O1276" s="20"/>
      <c r="P1276" s="20"/>
      <c r="R1276" s="20"/>
      <c r="S1276" s="10"/>
    </row>
  </sheetData>
  <mergeCells count="1">
    <mergeCell ref="A5:B5"/>
  </mergeCells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0" orientation="landscape" r:id="rId1"/>
  <headerFooter alignWithMargins="0"/>
  <colBreaks count="1" manualBreakCount="1">
    <brk id="7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26"/>
  <sheetViews>
    <sheetView zoomScale="124" zoomScaleNormal="124" workbookViewId="0">
      <selection activeCell="I19" sqref="I19"/>
    </sheetView>
  </sheetViews>
  <sheetFormatPr defaultColWidth="9.140625" defaultRowHeight="12.75" x14ac:dyDescent="0.2"/>
  <cols>
    <col min="1" max="1" width="41.28515625" style="9" customWidth="1"/>
    <col min="2" max="2" width="9" style="9" customWidth="1"/>
    <col min="3" max="13" width="7.42578125" style="9" customWidth="1"/>
    <col min="14" max="17" width="8" style="9" customWidth="1"/>
    <col min="18" max="16384" width="9.140625" style="9"/>
  </cols>
  <sheetData>
    <row r="1" spans="1:19" s="68" customFormat="1" ht="15" x14ac:dyDescent="0.25">
      <c r="A1" s="70" t="s">
        <v>201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9" s="68" customFormat="1" ht="15.75" thickBot="1" x14ac:dyDescent="0.3">
      <c r="A2" s="70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9" ht="13.5" thickBot="1" x14ac:dyDescent="0.25">
      <c r="A3" s="221"/>
      <c r="B3" s="222"/>
      <c r="C3" s="1188" t="s">
        <v>28</v>
      </c>
      <c r="D3" s="1187"/>
      <c r="E3" s="1187"/>
      <c r="F3" s="1187"/>
      <c r="G3" s="1187"/>
      <c r="H3" s="1187"/>
      <c r="I3" s="1187"/>
      <c r="J3" s="1187"/>
      <c r="K3" s="1187"/>
      <c r="L3" s="1187"/>
      <c r="M3" s="1189"/>
      <c r="N3" s="1186" t="s">
        <v>29</v>
      </c>
      <c r="O3" s="1187"/>
      <c r="P3" s="1187"/>
      <c r="Q3" s="1187"/>
      <c r="R3" s="1060"/>
    </row>
    <row r="4" spans="1:19" ht="86.25" customHeight="1" x14ac:dyDescent="0.2">
      <c r="A4" s="223"/>
      <c r="B4" s="93" t="s">
        <v>184</v>
      </c>
      <c r="C4" s="837" t="s">
        <v>48</v>
      </c>
      <c r="D4" s="975" t="s">
        <v>47</v>
      </c>
      <c r="E4" s="976" t="s">
        <v>58</v>
      </c>
      <c r="F4" s="837" t="s">
        <v>95</v>
      </c>
      <c r="G4" s="837" t="s">
        <v>92</v>
      </c>
      <c r="H4" s="837" t="s">
        <v>98</v>
      </c>
      <c r="I4" s="837" t="s">
        <v>136</v>
      </c>
      <c r="J4" s="837" t="s">
        <v>135</v>
      </c>
      <c r="K4" s="837" t="s">
        <v>154</v>
      </c>
      <c r="L4" s="837" t="s">
        <v>153</v>
      </c>
      <c r="M4" s="977" t="s">
        <v>157</v>
      </c>
      <c r="N4" s="978" t="s">
        <v>49</v>
      </c>
      <c r="O4" s="837" t="s">
        <v>91</v>
      </c>
      <c r="P4" s="837" t="s">
        <v>99</v>
      </c>
      <c r="Q4" s="837" t="s">
        <v>111</v>
      </c>
      <c r="R4" s="1060"/>
    </row>
    <row r="5" spans="1:19" ht="15.6" customHeight="1" x14ac:dyDescent="0.2">
      <c r="A5" s="394" t="s">
        <v>31</v>
      </c>
      <c r="B5" s="98" t="s">
        <v>6</v>
      </c>
      <c r="C5" s="838" t="s">
        <v>5</v>
      </c>
      <c r="D5" s="980" t="s">
        <v>2</v>
      </c>
      <c r="E5" s="979" t="s">
        <v>2</v>
      </c>
      <c r="F5" s="980" t="s">
        <v>5</v>
      </c>
      <c r="G5" s="838" t="s">
        <v>2</v>
      </c>
      <c r="H5" s="838" t="s">
        <v>2</v>
      </c>
      <c r="I5" s="838" t="s">
        <v>2</v>
      </c>
      <c r="J5" s="838" t="s">
        <v>2</v>
      </c>
      <c r="K5" s="838" t="s">
        <v>2</v>
      </c>
      <c r="L5" s="838" t="s">
        <v>3</v>
      </c>
      <c r="M5" s="982" t="s">
        <v>3</v>
      </c>
      <c r="N5" s="981" t="s">
        <v>2</v>
      </c>
      <c r="O5" s="838" t="s">
        <v>2</v>
      </c>
      <c r="P5" s="980" t="s">
        <v>2</v>
      </c>
      <c r="Q5" s="838" t="s">
        <v>2</v>
      </c>
      <c r="R5" s="1060"/>
    </row>
    <row r="6" spans="1:19" x14ac:dyDescent="0.2">
      <c r="A6" s="343" t="s">
        <v>116</v>
      </c>
      <c r="B6" s="154"/>
      <c r="C6" s="983"/>
      <c r="D6" s="984"/>
      <c r="E6" s="983"/>
      <c r="F6" s="983"/>
      <c r="G6" s="983"/>
      <c r="H6" s="983"/>
      <c r="I6" s="983"/>
      <c r="J6" s="983"/>
      <c r="K6" s="983"/>
      <c r="L6" s="983"/>
      <c r="M6" s="983"/>
      <c r="N6" s="985"/>
      <c r="O6" s="983"/>
      <c r="P6" s="983"/>
      <c r="Q6" s="983"/>
      <c r="R6" s="1060"/>
    </row>
    <row r="7" spans="1:19" ht="17.25" customHeight="1" x14ac:dyDescent="0.2">
      <c r="A7" s="823" t="s">
        <v>285</v>
      </c>
      <c r="B7" s="351">
        <v>100</v>
      </c>
      <c r="C7" s="353">
        <v>105</v>
      </c>
      <c r="D7" s="230">
        <v>102</v>
      </c>
      <c r="E7" s="352">
        <v>104</v>
      </c>
      <c r="F7" s="353">
        <v>92</v>
      </c>
      <c r="G7" s="230">
        <v>100</v>
      </c>
      <c r="H7" s="353">
        <v>99</v>
      </c>
      <c r="I7" s="353">
        <v>93</v>
      </c>
      <c r="J7" s="353">
        <v>104</v>
      </c>
      <c r="K7" s="353">
        <v>91</v>
      </c>
      <c r="L7" s="353">
        <v>105</v>
      </c>
      <c r="M7" s="615">
        <v>101</v>
      </c>
      <c r="N7" s="605">
        <v>102</v>
      </c>
      <c r="O7" s="135">
        <v>101</v>
      </c>
      <c r="P7" s="135">
        <v>103</v>
      </c>
      <c r="Q7" s="305">
        <v>99</v>
      </c>
      <c r="R7" s="559"/>
      <c r="S7" s="211"/>
    </row>
    <row r="8" spans="1:19" ht="17.25" customHeight="1" x14ac:dyDescent="0.2">
      <c r="A8" s="821" t="s">
        <v>322</v>
      </c>
      <c r="B8" s="185">
        <v>100</v>
      </c>
      <c r="C8" s="354">
        <v>98</v>
      </c>
      <c r="D8" s="126">
        <v>100</v>
      </c>
      <c r="E8" s="125">
        <v>106</v>
      </c>
      <c r="F8" s="354">
        <v>98</v>
      </c>
      <c r="G8" s="126">
        <v>101</v>
      </c>
      <c r="H8" s="354">
        <v>100</v>
      </c>
      <c r="I8" s="354">
        <v>95</v>
      </c>
      <c r="J8" s="354">
        <v>101</v>
      </c>
      <c r="K8" s="354">
        <v>93</v>
      </c>
      <c r="L8" s="354">
        <v>103</v>
      </c>
      <c r="M8" s="1038">
        <v>111</v>
      </c>
      <c r="N8" s="606">
        <v>103</v>
      </c>
      <c r="O8" s="127">
        <v>100</v>
      </c>
      <c r="P8" s="354">
        <v>103</v>
      </c>
      <c r="Q8" s="354">
        <v>99</v>
      </c>
      <c r="R8" s="559"/>
      <c r="S8" s="211"/>
    </row>
    <row r="9" spans="1:19" ht="17.25" customHeight="1" x14ac:dyDescent="0.2">
      <c r="A9" s="821" t="s">
        <v>283</v>
      </c>
      <c r="B9" s="356">
        <v>100</v>
      </c>
      <c r="C9" s="354">
        <v>89</v>
      </c>
      <c r="D9" s="126">
        <v>102</v>
      </c>
      <c r="E9" s="125">
        <v>111</v>
      </c>
      <c r="F9" s="354">
        <v>111</v>
      </c>
      <c r="G9" s="126">
        <v>98</v>
      </c>
      <c r="H9" s="354">
        <v>100</v>
      </c>
      <c r="I9" s="354">
        <v>97</v>
      </c>
      <c r="J9" s="354">
        <v>92</v>
      </c>
      <c r="K9" s="354">
        <v>94</v>
      </c>
      <c r="L9" s="354">
        <v>104</v>
      </c>
      <c r="M9" s="1038">
        <v>112</v>
      </c>
      <c r="N9" s="606">
        <v>97</v>
      </c>
      <c r="O9" s="127">
        <v>98</v>
      </c>
      <c r="P9" s="354">
        <v>105</v>
      </c>
      <c r="Q9" s="354">
        <v>105</v>
      </c>
      <c r="R9" s="559"/>
      <c r="S9" s="211"/>
    </row>
    <row r="10" spans="1:19" ht="17.25" customHeight="1" x14ac:dyDescent="0.2">
      <c r="A10" s="805" t="s">
        <v>323</v>
      </c>
      <c r="B10" s="356">
        <v>100</v>
      </c>
      <c r="C10" s="354">
        <v>97.924528301886795</v>
      </c>
      <c r="D10" s="354">
        <v>101.33333333333333</v>
      </c>
      <c r="E10" s="354">
        <v>106.46153846153847</v>
      </c>
      <c r="F10" s="354">
        <v>98.871794871794876</v>
      </c>
      <c r="G10" s="354">
        <v>99.820512820512818</v>
      </c>
      <c r="H10" s="354">
        <v>99.589743589743591</v>
      </c>
      <c r="I10" s="354">
        <v>94.692307692307693</v>
      </c>
      <c r="J10" s="354">
        <v>99.84615384615384</v>
      </c>
      <c r="K10" s="354">
        <v>92.391304347826093</v>
      </c>
      <c r="L10" s="354">
        <v>104</v>
      </c>
      <c r="M10" s="354">
        <v>106.83333333333333</v>
      </c>
      <c r="N10" s="1003">
        <v>100.81132075471699</v>
      </c>
      <c r="O10" s="354">
        <v>99.897435897435898</v>
      </c>
      <c r="P10" s="354">
        <v>103.51282051282051</v>
      </c>
      <c r="Q10" s="354">
        <v>100.45454545454545</v>
      </c>
      <c r="R10" s="559"/>
      <c r="S10" s="211"/>
    </row>
    <row r="11" spans="1:19" ht="15.75" customHeight="1" x14ac:dyDescent="0.2">
      <c r="A11" s="345" t="s">
        <v>38</v>
      </c>
      <c r="B11" s="251"/>
      <c r="C11" s="64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07"/>
      <c r="O11" s="64"/>
      <c r="P11" s="64"/>
      <c r="Q11" s="64"/>
      <c r="R11" s="559"/>
      <c r="S11" s="211"/>
    </row>
    <row r="12" spans="1:19" ht="17.25" customHeight="1" x14ac:dyDescent="0.2">
      <c r="A12" s="822" t="s">
        <v>284</v>
      </c>
      <c r="B12" s="359">
        <v>100</v>
      </c>
      <c r="C12" s="353">
        <v>111</v>
      </c>
      <c r="D12" s="230">
        <v>102</v>
      </c>
      <c r="E12" s="352">
        <v>99</v>
      </c>
      <c r="F12" s="353">
        <v>86</v>
      </c>
      <c r="G12" s="230">
        <v>97</v>
      </c>
      <c r="H12" s="353">
        <v>100</v>
      </c>
      <c r="I12" s="353">
        <v>99</v>
      </c>
      <c r="J12" s="353">
        <v>106</v>
      </c>
      <c r="K12" s="353">
        <v>92</v>
      </c>
      <c r="L12" s="353">
        <v>115</v>
      </c>
      <c r="M12" s="615">
        <v>90</v>
      </c>
      <c r="N12" s="608">
        <v>103</v>
      </c>
      <c r="O12" s="305">
        <v>100</v>
      </c>
      <c r="P12" s="353">
        <v>103</v>
      </c>
      <c r="Q12" s="353">
        <v>97</v>
      </c>
      <c r="R12" s="559"/>
      <c r="S12" s="211"/>
    </row>
    <row r="13" spans="1:19" ht="17.25" customHeight="1" x14ac:dyDescent="0.2">
      <c r="A13" s="346" t="s">
        <v>117</v>
      </c>
      <c r="B13" s="140">
        <v>17.579999999999998</v>
      </c>
      <c r="C13" s="360">
        <v>17.079999999999998</v>
      </c>
      <c r="D13" s="361">
        <v>17.54</v>
      </c>
      <c r="E13" s="666">
        <v>16.98</v>
      </c>
      <c r="F13" s="360">
        <v>17.100000000000001</v>
      </c>
      <c r="G13" s="361">
        <v>17.5</v>
      </c>
      <c r="H13" s="360">
        <v>18.23</v>
      </c>
      <c r="I13" s="360">
        <v>17.440000000000001</v>
      </c>
      <c r="J13" s="360">
        <v>16.18</v>
      </c>
      <c r="K13" s="360">
        <v>17.57</v>
      </c>
      <c r="L13" s="360">
        <v>17.86</v>
      </c>
      <c r="M13" s="616">
        <v>17.14</v>
      </c>
      <c r="N13" s="609">
        <v>18.13</v>
      </c>
      <c r="O13" s="362">
        <v>17.940000000000001</v>
      </c>
      <c r="P13" s="360">
        <v>17.760000000000002</v>
      </c>
      <c r="Q13" s="360">
        <v>18</v>
      </c>
      <c r="R13" s="559"/>
      <c r="S13" s="211"/>
    </row>
    <row r="14" spans="1:19" ht="17.25" customHeight="1" x14ac:dyDescent="0.2">
      <c r="A14" s="342" t="s">
        <v>18</v>
      </c>
      <c r="B14" s="363"/>
      <c r="C14" s="298"/>
      <c r="D14" s="38"/>
      <c r="E14" s="298"/>
      <c r="F14" s="298"/>
      <c r="G14" s="298"/>
      <c r="H14" s="298"/>
      <c r="I14" s="364"/>
      <c r="J14" s="364"/>
      <c r="K14" s="364"/>
      <c r="L14" s="364"/>
      <c r="M14" s="364"/>
      <c r="N14" s="610"/>
      <c r="O14" s="298"/>
      <c r="P14" s="298"/>
      <c r="Q14" s="364"/>
      <c r="R14" s="559"/>
      <c r="S14" s="211"/>
    </row>
    <row r="15" spans="1:19" ht="17.25" customHeight="1" x14ac:dyDescent="0.2">
      <c r="A15" s="347" t="s">
        <v>131</v>
      </c>
      <c r="B15" s="365">
        <v>64.099999999999994</v>
      </c>
      <c r="C15" s="366">
        <v>60.7</v>
      </c>
      <c r="D15" s="135">
        <v>65.099999999999994</v>
      </c>
      <c r="E15" s="136">
        <v>61.5</v>
      </c>
      <c r="F15" s="366">
        <v>62.8</v>
      </c>
      <c r="G15" s="135">
        <v>61.7</v>
      </c>
      <c r="H15" s="366">
        <v>68.5</v>
      </c>
      <c r="I15" s="366">
        <v>66.8</v>
      </c>
      <c r="J15" s="366">
        <v>57.7</v>
      </c>
      <c r="K15" s="366">
        <v>59.4</v>
      </c>
      <c r="L15" s="366">
        <v>57.8</v>
      </c>
      <c r="M15" s="615">
        <v>59.3</v>
      </c>
      <c r="N15" s="611">
        <v>66.3</v>
      </c>
      <c r="O15" s="137">
        <v>62.9</v>
      </c>
      <c r="P15" s="366">
        <v>66.3</v>
      </c>
      <c r="Q15" s="366">
        <v>66.099999999999994</v>
      </c>
      <c r="R15" s="559"/>
      <c r="S15" s="211"/>
    </row>
    <row r="16" spans="1:19" ht="17.25" customHeight="1" x14ac:dyDescent="0.2">
      <c r="A16" s="348" t="s">
        <v>129</v>
      </c>
      <c r="B16" s="356">
        <v>53</v>
      </c>
      <c r="C16" s="357">
        <v>42.7</v>
      </c>
      <c r="D16" s="232">
        <v>56.5</v>
      </c>
      <c r="E16" s="233">
        <v>52.6</v>
      </c>
      <c r="F16" s="357">
        <v>57.4</v>
      </c>
      <c r="G16" s="232">
        <v>55.1</v>
      </c>
      <c r="H16" s="357">
        <v>58.6</v>
      </c>
      <c r="I16" s="357">
        <v>56.9</v>
      </c>
      <c r="J16" s="357">
        <v>42.8</v>
      </c>
      <c r="K16" s="357">
        <v>49.6</v>
      </c>
      <c r="L16" s="357">
        <v>52.8</v>
      </c>
      <c r="M16" s="781">
        <v>57.9</v>
      </c>
      <c r="N16" s="612">
        <v>53.3</v>
      </c>
      <c r="O16" s="238">
        <v>48.8</v>
      </c>
      <c r="P16" s="357">
        <v>56</v>
      </c>
      <c r="Q16" s="357">
        <v>54.6</v>
      </c>
      <c r="R16" s="559"/>
      <c r="S16" s="211"/>
    </row>
    <row r="17" spans="1:19" ht="17.25" customHeight="1" x14ac:dyDescent="0.2">
      <c r="A17" s="348" t="s">
        <v>27</v>
      </c>
      <c r="B17" s="356">
        <v>46</v>
      </c>
      <c r="C17" s="357">
        <v>35.4</v>
      </c>
      <c r="D17" s="232">
        <v>48.8</v>
      </c>
      <c r="E17" s="233">
        <v>50.2</v>
      </c>
      <c r="F17" s="357">
        <v>57.6</v>
      </c>
      <c r="G17" s="232">
        <v>46.1</v>
      </c>
      <c r="H17" s="357">
        <v>51</v>
      </c>
      <c r="I17" s="357">
        <v>45</v>
      </c>
      <c r="J17" s="357">
        <v>38.200000000000003</v>
      </c>
      <c r="K17" s="357">
        <v>45.4</v>
      </c>
      <c r="L17" s="357">
        <v>44.4</v>
      </c>
      <c r="M17" s="781">
        <v>49.5</v>
      </c>
      <c r="N17" s="612">
        <v>43.5</v>
      </c>
      <c r="O17" s="238">
        <v>38</v>
      </c>
      <c r="P17" s="357">
        <v>49.7</v>
      </c>
      <c r="Q17" s="357">
        <v>50.3</v>
      </c>
      <c r="R17" s="559"/>
      <c r="S17" s="211"/>
    </row>
    <row r="18" spans="1:19" ht="8.25" customHeight="1" x14ac:dyDescent="0.2">
      <c r="A18" s="302"/>
      <c r="B18" s="251"/>
      <c r="C18" s="64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07"/>
      <c r="O18" s="64"/>
      <c r="P18" s="64"/>
      <c r="Q18" s="64"/>
      <c r="R18" s="559"/>
      <c r="S18" s="211"/>
    </row>
    <row r="19" spans="1:19" s="27" customFormat="1" ht="17.25" customHeight="1" x14ac:dyDescent="0.2">
      <c r="A19" s="287" t="s">
        <v>11</v>
      </c>
      <c r="B19" s="182" t="s">
        <v>6</v>
      </c>
      <c r="C19" s="288">
        <v>1980</v>
      </c>
      <c r="D19" s="129">
        <v>2003</v>
      </c>
      <c r="E19" s="252">
        <v>2010</v>
      </c>
      <c r="F19" s="289">
        <v>2011</v>
      </c>
      <c r="G19" s="130">
        <v>2011</v>
      </c>
      <c r="H19" s="289">
        <v>2012</v>
      </c>
      <c r="I19" s="289">
        <v>2016</v>
      </c>
      <c r="J19" s="289">
        <v>2016</v>
      </c>
      <c r="K19" s="289">
        <v>2017</v>
      </c>
      <c r="L19" s="289">
        <v>2018</v>
      </c>
      <c r="M19" s="617">
        <v>2018</v>
      </c>
      <c r="N19" s="613">
        <v>2005</v>
      </c>
      <c r="O19" s="130">
        <v>2010</v>
      </c>
      <c r="P19" s="130">
        <v>2011</v>
      </c>
      <c r="Q19" s="131">
        <v>2014</v>
      </c>
      <c r="R19" s="559"/>
    </row>
    <row r="20" spans="1:19" ht="17.25" customHeight="1" x14ac:dyDescent="0.2">
      <c r="A20" s="254" t="s">
        <v>12</v>
      </c>
      <c r="B20" s="251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07"/>
      <c r="O20" s="64"/>
      <c r="P20" s="64"/>
      <c r="Q20" s="64"/>
      <c r="R20" s="559"/>
      <c r="S20" s="211"/>
    </row>
    <row r="21" spans="1:19" ht="17.25" customHeight="1" x14ac:dyDescent="0.2">
      <c r="A21" s="303" t="s">
        <v>33</v>
      </c>
      <c r="B21" s="304" t="s">
        <v>6</v>
      </c>
      <c r="C21" s="353">
        <v>20</v>
      </c>
      <c r="D21" s="230">
        <v>16</v>
      </c>
      <c r="E21" s="352">
        <v>16</v>
      </c>
      <c r="F21" s="353">
        <v>16</v>
      </c>
      <c r="G21" s="230">
        <v>16</v>
      </c>
      <c r="H21" s="353">
        <v>16</v>
      </c>
      <c r="I21" s="353">
        <v>11</v>
      </c>
      <c r="J21" s="353">
        <v>11</v>
      </c>
      <c r="K21" s="353">
        <v>10</v>
      </c>
      <c r="L21" s="353">
        <v>5</v>
      </c>
      <c r="M21" s="615">
        <v>8</v>
      </c>
      <c r="N21" s="608">
        <v>20</v>
      </c>
      <c r="O21" s="353">
        <v>16</v>
      </c>
      <c r="P21" s="353">
        <v>16</v>
      </c>
      <c r="Q21" s="353">
        <v>14</v>
      </c>
      <c r="R21" s="559"/>
      <c r="S21" s="367"/>
    </row>
    <row r="22" spans="1:19" ht="17.25" customHeight="1" x14ac:dyDescent="0.2">
      <c r="A22" s="349" t="s">
        <v>34</v>
      </c>
      <c r="B22" s="306" t="s">
        <v>6</v>
      </c>
      <c r="C22" s="369">
        <v>17</v>
      </c>
      <c r="D22" s="308">
        <v>13</v>
      </c>
      <c r="E22" s="368">
        <v>13</v>
      </c>
      <c r="F22" s="369">
        <v>13</v>
      </c>
      <c r="G22" s="308">
        <v>13</v>
      </c>
      <c r="H22" s="369">
        <v>13</v>
      </c>
      <c r="I22" s="369">
        <v>8</v>
      </c>
      <c r="J22" s="369">
        <v>8</v>
      </c>
      <c r="K22" s="369">
        <v>7</v>
      </c>
      <c r="L22" s="369">
        <v>5</v>
      </c>
      <c r="M22" s="618">
        <v>5</v>
      </c>
      <c r="N22" s="614">
        <v>17</v>
      </c>
      <c r="O22" s="369">
        <v>13</v>
      </c>
      <c r="P22" s="369">
        <v>13</v>
      </c>
      <c r="Q22" s="369">
        <v>11</v>
      </c>
      <c r="R22" s="559"/>
      <c r="S22" s="371"/>
    </row>
    <row r="23" spans="1:19" ht="17.25" customHeight="1" thickBot="1" x14ac:dyDescent="0.25">
      <c r="A23" s="582" t="s">
        <v>35</v>
      </c>
      <c r="B23" s="1076" t="s">
        <v>6</v>
      </c>
      <c r="C23" s="1077">
        <v>16</v>
      </c>
      <c r="D23" s="1078">
        <v>10</v>
      </c>
      <c r="E23" s="1051">
        <v>10</v>
      </c>
      <c r="F23" s="1077">
        <v>10</v>
      </c>
      <c r="G23" s="1078">
        <v>10</v>
      </c>
      <c r="H23" s="1077">
        <v>10</v>
      </c>
      <c r="I23" s="1077">
        <v>7</v>
      </c>
      <c r="J23" s="1077">
        <v>7</v>
      </c>
      <c r="K23" s="1077">
        <v>6</v>
      </c>
      <c r="L23" s="1077">
        <v>5</v>
      </c>
      <c r="M23" s="1079">
        <v>5</v>
      </c>
      <c r="N23" s="1080">
        <v>16</v>
      </c>
      <c r="O23" s="1077">
        <v>10</v>
      </c>
      <c r="P23" s="1077">
        <v>10</v>
      </c>
      <c r="Q23" s="1081">
        <v>8</v>
      </c>
      <c r="R23" s="559"/>
      <c r="S23" s="371"/>
    </row>
    <row r="24" spans="1:19" x14ac:dyDescent="0.2">
      <c r="A24" s="226"/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  <c r="Q24" s="376"/>
      <c r="R24" s="211"/>
      <c r="S24" s="211"/>
    </row>
    <row r="25" spans="1:19" x14ac:dyDescent="0.2">
      <c r="A25" s="13"/>
      <c r="B25" s="211"/>
      <c r="F25" s="824"/>
      <c r="R25" s="211"/>
      <c r="S25" s="211"/>
    </row>
    <row r="26" spans="1:19" x14ac:dyDescent="0.2">
      <c r="B26" s="211"/>
    </row>
  </sheetData>
  <mergeCells count="2">
    <mergeCell ref="N3:Q3"/>
    <mergeCell ref="C3:M3"/>
  </mergeCells>
  <phoneticPr fontId="5" type="noConversion"/>
  <printOptions horizontalCentered="1"/>
  <pageMargins left="0.39370078740157483" right="0.39370078740157483" top="0.39370078740157483" bottom="0.39370078740157483" header="0.31496062992125984" footer="0.31496062992125984"/>
  <pageSetup paperSize="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O21"/>
  <sheetViews>
    <sheetView zoomScaleNormal="100" workbookViewId="0">
      <selection activeCell="J28" sqref="J28"/>
    </sheetView>
  </sheetViews>
  <sheetFormatPr defaultColWidth="8.85546875" defaultRowHeight="12.75" x14ac:dyDescent="0.2"/>
  <cols>
    <col min="1" max="1" width="39.7109375" style="9" customWidth="1"/>
    <col min="2" max="2" width="9.5703125" style="9" customWidth="1"/>
    <col min="3" max="5" width="8.140625" style="9" customWidth="1"/>
    <col min="6" max="16384" width="8.85546875" style="9"/>
  </cols>
  <sheetData>
    <row r="1" spans="1:41" s="68" customFormat="1" ht="15" x14ac:dyDescent="0.25">
      <c r="A1" s="70" t="s">
        <v>191</v>
      </c>
      <c r="B1" s="122"/>
      <c r="C1" s="122"/>
      <c r="D1" s="122"/>
      <c r="E1" s="122"/>
    </row>
    <row r="2" spans="1:41" ht="13.5" thickBot="1" x14ac:dyDescent="0.25">
      <c r="A2" s="777"/>
      <c r="B2" s="778"/>
      <c r="C2" s="778"/>
      <c r="D2" s="778"/>
      <c r="E2" s="778"/>
    </row>
    <row r="3" spans="1:41" ht="84.75" customHeight="1" x14ac:dyDescent="0.2">
      <c r="A3" s="779"/>
      <c r="B3" s="59" t="s">
        <v>182</v>
      </c>
      <c r="C3" s="90" t="s">
        <v>57</v>
      </c>
      <c r="D3" s="5" t="s">
        <v>55</v>
      </c>
      <c r="E3" s="1059" t="s">
        <v>56</v>
      </c>
      <c r="F3" s="1060"/>
    </row>
    <row r="4" spans="1:41" s="211" customFormat="1" ht="15.75" customHeight="1" x14ac:dyDescent="0.2">
      <c r="A4" s="422" t="s">
        <v>116</v>
      </c>
      <c r="B4" s="423"/>
      <c r="C4" s="298"/>
      <c r="D4" s="298"/>
      <c r="E4" s="298"/>
      <c r="F4" s="559"/>
    </row>
    <row r="5" spans="1:41" s="211" customFormat="1" ht="15.75" customHeight="1" x14ac:dyDescent="0.2">
      <c r="A5" s="823" t="s">
        <v>282</v>
      </c>
      <c r="B5" s="351">
        <v>100</v>
      </c>
      <c r="C5" s="305">
        <v>101</v>
      </c>
      <c r="D5" s="230">
        <v>101</v>
      </c>
      <c r="E5" s="353">
        <v>98</v>
      </c>
      <c r="F5" s="559"/>
    </row>
    <row r="6" spans="1:41" s="211" customFormat="1" ht="15.75" customHeight="1" x14ac:dyDescent="0.2">
      <c r="A6" s="821" t="s">
        <v>164</v>
      </c>
      <c r="B6" s="185">
        <v>100</v>
      </c>
      <c r="C6" s="127">
        <v>100</v>
      </c>
      <c r="D6" s="126">
        <v>99</v>
      </c>
      <c r="E6" s="354">
        <v>101</v>
      </c>
      <c r="F6" s="559"/>
    </row>
    <row r="7" spans="1:41" s="210" customFormat="1" ht="15.75" customHeight="1" x14ac:dyDescent="0.2">
      <c r="A7" s="805" t="s">
        <v>309</v>
      </c>
      <c r="B7" s="356">
        <v>100</v>
      </c>
      <c r="C7" s="305">
        <v>100.52941176470588</v>
      </c>
      <c r="D7" s="230">
        <v>100.05882352941177</v>
      </c>
      <c r="E7" s="353">
        <v>99.411764705882348</v>
      </c>
      <c r="F7" s="559"/>
      <c r="G7" s="27"/>
      <c r="H7" s="211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s="210" customFormat="1" ht="15.75" customHeight="1" x14ac:dyDescent="0.2">
      <c r="A8" s="343" t="s">
        <v>38</v>
      </c>
      <c r="B8" s="423"/>
      <c r="C8" s="298"/>
      <c r="D8" s="298"/>
      <c r="E8" s="298"/>
      <c r="F8" s="559"/>
      <c r="G8" s="27"/>
      <c r="H8" s="21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</row>
    <row r="9" spans="1:41" s="210" customFormat="1" ht="15.75" customHeight="1" x14ac:dyDescent="0.2">
      <c r="A9" s="1002" t="s">
        <v>141</v>
      </c>
      <c r="B9" s="359">
        <v>100</v>
      </c>
      <c r="C9" s="305">
        <v>102</v>
      </c>
      <c r="D9" s="230">
        <v>101</v>
      </c>
      <c r="E9" s="353">
        <v>96</v>
      </c>
      <c r="F9" s="559"/>
      <c r="G9" s="27"/>
      <c r="H9" s="211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</row>
    <row r="10" spans="1:41" s="210" customFormat="1" ht="15.75" customHeight="1" x14ac:dyDescent="0.2">
      <c r="A10" s="424" t="s">
        <v>117</v>
      </c>
      <c r="B10" s="194">
        <v>18.399999999999999</v>
      </c>
      <c r="C10" s="677">
        <v>18.21</v>
      </c>
      <c r="D10" s="390">
        <v>18.57</v>
      </c>
      <c r="E10" s="783">
        <v>18.41</v>
      </c>
      <c r="F10" s="559"/>
      <c r="G10" s="27"/>
      <c r="H10" s="211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</row>
    <row r="11" spans="1:41" s="210" customFormat="1" ht="15.75" customHeight="1" x14ac:dyDescent="0.2">
      <c r="A11" s="343" t="s">
        <v>18</v>
      </c>
      <c r="B11" s="423"/>
      <c r="C11" s="298"/>
      <c r="D11" s="298"/>
      <c r="E11" s="298"/>
      <c r="F11" s="559"/>
      <c r="G11" s="27"/>
      <c r="H11" s="211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</row>
    <row r="12" spans="1:41" s="210" customFormat="1" ht="15.75" customHeight="1" x14ac:dyDescent="0.2">
      <c r="A12" s="392" t="s">
        <v>131</v>
      </c>
      <c r="B12" s="351">
        <v>54.2</v>
      </c>
      <c r="C12" s="305">
        <v>56.5</v>
      </c>
      <c r="D12" s="230">
        <v>53.4</v>
      </c>
      <c r="E12" s="353">
        <v>52.9</v>
      </c>
      <c r="F12" s="559"/>
      <c r="G12" s="27"/>
      <c r="H12" s="211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</row>
    <row r="13" spans="1:41" s="27" customFormat="1" ht="15.75" customHeight="1" x14ac:dyDescent="0.2">
      <c r="A13" s="348" t="s">
        <v>129</v>
      </c>
      <c r="B13" s="356">
        <v>46</v>
      </c>
      <c r="C13" s="238">
        <v>48.2</v>
      </c>
      <c r="D13" s="232">
        <v>45.3</v>
      </c>
      <c r="E13" s="357">
        <v>44.7</v>
      </c>
      <c r="F13" s="559"/>
      <c r="H13" s="211"/>
    </row>
    <row r="14" spans="1:41" s="27" customFormat="1" ht="8.25" customHeight="1" x14ac:dyDescent="0.2">
      <c r="A14" s="425"/>
      <c r="B14" s="251"/>
      <c r="C14" s="64"/>
      <c r="D14" s="64"/>
      <c r="E14" s="64"/>
      <c r="F14" s="559"/>
      <c r="H14" s="211"/>
    </row>
    <row r="15" spans="1:41" s="211" customFormat="1" ht="15.75" customHeight="1" x14ac:dyDescent="0.2">
      <c r="A15" s="287" t="s">
        <v>11</v>
      </c>
      <c r="B15" s="182" t="s">
        <v>6</v>
      </c>
      <c r="C15" s="298">
        <v>2003</v>
      </c>
      <c r="D15" s="129">
        <v>2003</v>
      </c>
      <c r="E15" s="288">
        <v>2003</v>
      </c>
      <c r="F15" s="559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</row>
    <row r="16" spans="1:41" s="211" customFormat="1" ht="15.75" customHeight="1" x14ac:dyDescent="0.2">
      <c r="A16" s="254" t="s">
        <v>12</v>
      </c>
      <c r="B16" s="251"/>
      <c r="C16" s="64"/>
      <c r="D16" s="64"/>
      <c r="E16" s="64"/>
      <c r="F16" s="559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</row>
    <row r="17" spans="1:41" s="211" customFormat="1" ht="15.75" customHeight="1" x14ac:dyDescent="0.2">
      <c r="A17" s="303" t="s">
        <v>33</v>
      </c>
      <c r="B17" s="304" t="s">
        <v>6</v>
      </c>
      <c r="C17" s="305">
        <v>9</v>
      </c>
      <c r="D17" s="230">
        <v>9</v>
      </c>
      <c r="E17" s="353">
        <v>9</v>
      </c>
      <c r="F17" s="559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</row>
    <row r="18" spans="1:41" s="211" customFormat="1" ht="15.75" customHeight="1" x14ac:dyDescent="0.2">
      <c r="A18" s="780" t="s">
        <v>34</v>
      </c>
      <c r="B18" s="306" t="s">
        <v>6</v>
      </c>
      <c r="C18" s="307">
        <v>8</v>
      </c>
      <c r="D18" s="308">
        <v>8</v>
      </c>
      <c r="E18" s="369">
        <v>8</v>
      </c>
      <c r="F18" s="55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</row>
    <row r="19" spans="1:41" s="211" customFormat="1" ht="9.75" customHeight="1" thickBot="1" x14ac:dyDescent="0.25">
      <c r="A19" s="350"/>
      <c r="B19" s="372"/>
      <c r="C19" s="375"/>
      <c r="D19" s="374"/>
      <c r="E19" s="373"/>
      <c r="F19" s="559"/>
    </row>
    <row r="20" spans="1:41" x14ac:dyDescent="0.2">
      <c r="A20" s="226"/>
      <c r="B20" s="14"/>
      <c r="C20" s="14"/>
      <c r="D20" s="14"/>
      <c r="E20" s="14"/>
    </row>
    <row r="21" spans="1:41" x14ac:dyDescent="0.2">
      <c r="A21" s="6"/>
    </row>
  </sheetData>
  <phoneticPr fontId="5" type="noConversion"/>
  <printOptions horizontalCentered="1" verticalCentered="1"/>
  <pageMargins left="0.6692913385826772" right="0.19685039370078741" top="0.43307086614173229" bottom="0.27559055118110237" header="0.19685039370078741" footer="0.1574803149606299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30"/>
  <sheetViews>
    <sheetView zoomScale="95" zoomScaleNormal="95" workbookViewId="0">
      <selection activeCell="J32" sqref="J32"/>
    </sheetView>
  </sheetViews>
  <sheetFormatPr defaultColWidth="8.85546875" defaultRowHeight="12.75" x14ac:dyDescent="0.2"/>
  <cols>
    <col min="1" max="1" width="49.5703125" style="9" customWidth="1"/>
    <col min="2" max="2" width="9.140625" style="9" customWidth="1"/>
    <col min="3" max="4" width="8.85546875" style="9"/>
    <col min="5" max="33" width="9.140625" style="6" customWidth="1"/>
    <col min="34" max="16384" width="8.85546875" style="9"/>
  </cols>
  <sheetData>
    <row r="1" spans="1:33" s="68" customFormat="1" ht="15" x14ac:dyDescent="0.25">
      <c r="A1" s="70" t="s">
        <v>190</v>
      </c>
      <c r="B1" s="767"/>
      <c r="C1" s="767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13.5" thickBot="1" x14ac:dyDescent="0.25">
      <c r="A2" s="768"/>
      <c r="B2" s="769"/>
      <c r="C2" s="769"/>
      <c r="D2" s="769"/>
    </row>
    <row r="3" spans="1:33" ht="68.25" customHeight="1" x14ac:dyDescent="0.2">
      <c r="A3" s="157"/>
      <c r="B3" s="59" t="s">
        <v>182</v>
      </c>
      <c r="C3" s="5" t="s">
        <v>50</v>
      </c>
      <c r="D3" s="1059" t="s">
        <v>51</v>
      </c>
      <c r="E3" s="106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3" ht="12.75" customHeight="1" x14ac:dyDescent="0.2">
      <c r="A4" s="166" t="s">
        <v>116</v>
      </c>
      <c r="B4" s="158"/>
      <c r="C4" s="44"/>
      <c r="D4" s="44"/>
      <c r="E4" s="106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3" ht="13.5" customHeight="1" x14ac:dyDescent="0.2">
      <c r="A5" s="799" t="s">
        <v>280</v>
      </c>
      <c r="B5" s="160">
        <v>100</v>
      </c>
      <c r="C5" s="42">
        <v>98</v>
      </c>
      <c r="D5" s="1061">
        <v>102</v>
      </c>
      <c r="E5" s="1060"/>
    </row>
    <row r="6" spans="1:33" s="770" customFormat="1" ht="13.5" customHeight="1" x14ac:dyDescent="0.2">
      <c r="A6" s="795" t="s">
        <v>275</v>
      </c>
      <c r="B6" s="99">
        <v>100</v>
      </c>
      <c r="C6" s="17">
        <v>100</v>
      </c>
      <c r="D6" s="1062">
        <v>100</v>
      </c>
      <c r="E6" s="107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770" customFormat="1" ht="13.5" customHeight="1" x14ac:dyDescent="0.2">
      <c r="A7" s="800" t="s">
        <v>281</v>
      </c>
      <c r="B7" s="95">
        <v>100</v>
      </c>
      <c r="C7" s="7">
        <v>99</v>
      </c>
      <c r="D7" s="1063">
        <v>101</v>
      </c>
      <c r="E7" s="1060"/>
      <c r="F7" s="6"/>
      <c r="G7" s="6"/>
      <c r="H7" s="100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s="770" customFormat="1" ht="13.5" customHeight="1" x14ac:dyDescent="0.2">
      <c r="A8" s="151" t="s">
        <v>38</v>
      </c>
      <c r="B8" s="165"/>
      <c r="C8" s="309"/>
      <c r="D8" s="309"/>
      <c r="E8" s="1074"/>
      <c r="F8" s="10"/>
      <c r="G8" s="10"/>
      <c r="H8" s="6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6"/>
      <c r="AG8" s="6"/>
    </row>
    <row r="9" spans="1:33" s="771" customFormat="1" ht="13.5" customHeight="1" x14ac:dyDescent="0.2">
      <c r="A9" s="796" t="s">
        <v>276</v>
      </c>
      <c r="B9" s="156">
        <v>100</v>
      </c>
      <c r="C9" s="37">
        <v>99</v>
      </c>
      <c r="D9" s="1064">
        <v>101</v>
      </c>
      <c r="E9" s="106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3.5" customHeight="1" x14ac:dyDescent="0.2">
      <c r="A10" s="1041" t="s">
        <v>366</v>
      </c>
      <c r="B10" s="39">
        <f>65+2.05</f>
        <v>67.05</v>
      </c>
      <c r="C10" s="40">
        <f>65+1.72</f>
        <v>66.72</v>
      </c>
      <c r="D10" s="1065">
        <f>65+2.37</f>
        <v>67.37</v>
      </c>
      <c r="E10" s="1060"/>
    </row>
    <row r="11" spans="1:33" s="770" customFormat="1" ht="13.5" customHeight="1" x14ac:dyDescent="0.2">
      <c r="A11" s="797" t="s">
        <v>277</v>
      </c>
      <c r="B11" s="99">
        <v>100</v>
      </c>
      <c r="C11" s="17">
        <v>97</v>
      </c>
      <c r="D11" s="1062">
        <v>103</v>
      </c>
      <c r="E11" s="106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s="770" customFormat="1" ht="13.5" customHeight="1" x14ac:dyDescent="0.2">
      <c r="A12" s="797" t="s">
        <v>367</v>
      </c>
      <c r="B12" s="39">
        <f>65+2.96</f>
        <v>67.959999999999994</v>
      </c>
      <c r="C12" s="40">
        <f>65+3.26</f>
        <v>68.260000000000005</v>
      </c>
      <c r="D12" s="1065">
        <f>65+2.66</f>
        <v>67.66</v>
      </c>
      <c r="E12" s="106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s="770" customFormat="1" ht="13.5" customHeight="1" x14ac:dyDescent="0.2">
      <c r="A13" s="797" t="s">
        <v>278</v>
      </c>
      <c r="B13" s="99">
        <v>100</v>
      </c>
      <c r="C13" s="17">
        <v>97</v>
      </c>
      <c r="D13" s="1062">
        <v>103</v>
      </c>
      <c r="E13" s="1060"/>
      <c r="F13" s="6"/>
      <c r="G13" s="6"/>
      <c r="H13" s="6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770" customFormat="1" ht="13.5" customHeight="1" x14ac:dyDescent="0.2">
      <c r="A14" s="798" t="s">
        <v>279</v>
      </c>
      <c r="B14" s="95">
        <v>100</v>
      </c>
      <c r="C14" s="7">
        <v>99</v>
      </c>
      <c r="D14" s="1063">
        <v>101</v>
      </c>
      <c r="E14" s="106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70" customFormat="1" ht="13.5" customHeight="1" x14ac:dyDescent="0.2">
      <c r="A15" s="85" t="s">
        <v>18</v>
      </c>
      <c r="B15" s="45"/>
      <c r="C15" s="310"/>
      <c r="D15" s="310"/>
      <c r="E15" s="1060"/>
      <c r="F15" s="9"/>
      <c r="G15" s="9"/>
      <c r="H15" s="6"/>
      <c r="I15" s="9"/>
      <c r="J15" s="9"/>
      <c r="K15" s="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6"/>
      <c r="AG15" s="6"/>
    </row>
    <row r="16" spans="1:33" ht="15.75" hidden="1" customHeight="1" x14ac:dyDescent="0.2">
      <c r="A16" s="164" t="s">
        <v>52</v>
      </c>
      <c r="B16" s="41">
        <v>6.4</v>
      </c>
      <c r="C16" s="18">
        <v>6.49</v>
      </c>
      <c r="D16" s="1066">
        <v>6.46</v>
      </c>
      <c r="E16" s="1060"/>
    </row>
    <row r="17" spans="1:33" ht="15.75" customHeight="1" x14ac:dyDescent="0.2">
      <c r="A17" s="100" t="s">
        <v>129</v>
      </c>
      <c r="B17" s="41">
        <v>60.47</v>
      </c>
      <c r="C17" s="18">
        <v>60.56</v>
      </c>
      <c r="D17" s="1066">
        <v>60.37</v>
      </c>
      <c r="E17" s="1060"/>
    </row>
    <row r="18" spans="1:33" s="12" customFormat="1" ht="15.75" customHeight="1" x14ac:dyDescent="0.2">
      <c r="A18" s="155" t="s">
        <v>7</v>
      </c>
      <c r="B18" s="161">
        <v>5.8</v>
      </c>
      <c r="C18" s="47">
        <v>6.1</v>
      </c>
      <c r="D18" s="1067">
        <v>5.4</v>
      </c>
      <c r="E18" s="106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0"/>
      <c r="AG18" s="10"/>
    </row>
    <row r="19" spans="1:33" ht="15" customHeight="1" x14ac:dyDescent="0.2">
      <c r="A19" s="56" t="s">
        <v>19</v>
      </c>
      <c r="B19" s="154"/>
      <c r="C19" s="310"/>
      <c r="D19" s="310"/>
      <c r="E19" s="1060"/>
    </row>
    <row r="20" spans="1:33" s="770" customFormat="1" ht="15" customHeight="1" x14ac:dyDescent="0.2">
      <c r="A20" s="164" t="s">
        <v>53</v>
      </c>
      <c r="B20" s="156">
        <v>7</v>
      </c>
      <c r="C20" s="37">
        <v>7</v>
      </c>
      <c r="D20" s="1064">
        <v>7</v>
      </c>
      <c r="E20" s="106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770" customFormat="1" ht="15" customHeight="1" x14ac:dyDescent="0.2">
      <c r="A21" s="153" t="s">
        <v>54</v>
      </c>
      <c r="B21" s="99">
        <v>5.25</v>
      </c>
      <c r="C21" s="33">
        <v>5</v>
      </c>
      <c r="D21" s="1068">
        <v>6</v>
      </c>
      <c r="E21" s="106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s="770" customFormat="1" ht="15" customHeight="1" x14ac:dyDescent="0.2">
      <c r="A22" s="163" t="s">
        <v>67</v>
      </c>
      <c r="B22" s="95">
        <v>6</v>
      </c>
      <c r="C22" s="51">
        <v>3</v>
      </c>
      <c r="D22" s="1069">
        <v>6</v>
      </c>
      <c r="E22" s="106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s="770" customFormat="1" ht="8.25" customHeight="1" x14ac:dyDescent="0.2">
      <c r="A23" s="152"/>
      <c r="B23" s="154"/>
      <c r="C23" s="44"/>
      <c r="D23" s="44"/>
      <c r="E23" s="106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6"/>
      <c r="AG23" s="6"/>
    </row>
    <row r="24" spans="1:33" s="770" customFormat="1" ht="15" customHeight="1" x14ac:dyDescent="0.2">
      <c r="A24" s="159" t="s">
        <v>11</v>
      </c>
      <c r="B24" s="31" t="s">
        <v>6</v>
      </c>
      <c r="C24" s="16">
        <v>1982</v>
      </c>
      <c r="D24" s="1070">
        <v>1991</v>
      </c>
      <c r="E24" s="106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6"/>
      <c r="AG24" s="6"/>
    </row>
    <row r="25" spans="1:33" s="772" customFormat="1" ht="15" customHeight="1" x14ac:dyDescent="0.2">
      <c r="A25" s="300" t="s">
        <v>12</v>
      </c>
      <c r="B25" s="301"/>
      <c r="C25" s="311"/>
      <c r="D25" s="311"/>
      <c r="E25" s="1075"/>
      <c r="AF25" s="773"/>
      <c r="AG25" s="773"/>
    </row>
    <row r="26" spans="1:33" ht="15" customHeight="1" x14ac:dyDescent="0.2">
      <c r="A26" s="84" t="s">
        <v>33</v>
      </c>
      <c r="B26" s="46" t="s">
        <v>6</v>
      </c>
      <c r="C26" s="53">
        <v>10</v>
      </c>
      <c r="D26" s="1071">
        <v>10</v>
      </c>
      <c r="E26" s="1060"/>
    </row>
    <row r="27" spans="1:33" s="770" customFormat="1" ht="15" customHeight="1" thickBot="1" x14ac:dyDescent="0.25">
      <c r="A27" s="774" t="s">
        <v>34</v>
      </c>
      <c r="B27" s="775" t="s">
        <v>6</v>
      </c>
      <c r="C27" s="776">
        <v>9</v>
      </c>
      <c r="D27" s="1072">
        <v>9</v>
      </c>
      <c r="E27" s="106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0.5" customHeight="1" x14ac:dyDescent="0.2">
      <c r="A28" s="405"/>
      <c r="B28" s="405"/>
      <c r="C28" s="405"/>
      <c r="D28" s="405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3" x14ac:dyDescent="0.2">
      <c r="B29" s="162"/>
      <c r="C29" s="162"/>
    </row>
    <row r="30" spans="1:33" x14ac:dyDescent="0.2">
      <c r="E30" s="9"/>
      <c r="F30" s="9"/>
    </row>
  </sheetData>
  <phoneticPr fontId="5" type="noConversion"/>
  <printOptions horizontalCentered="1" verticalCentered="1"/>
  <pageMargins left="0.6692913385826772" right="0.19685039370078741" top="0.43307086614173229" bottom="0.27559055118110237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I51"/>
  <sheetViews>
    <sheetView topLeftCell="A13" zoomScaleNormal="100" workbookViewId="0">
      <selection activeCell="A51" sqref="A51:XFD51"/>
    </sheetView>
  </sheetViews>
  <sheetFormatPr defaultColWidth="9.140625" defaultRowHeight="12.75" x14ac:dyDescent="0.2"/>
  <cols>
    <col min="1" max="1" width="46.42578125" style="6" customWidth="1"/>
    <col min="2" max="2" width="8.7109375" style="110" customWidth="1"/>
    <col min="3" max="3" width="9.28515625" style="110" customWidth="1"/>
    <col min="4" max="17" width="8.5703125" style="110" customWidth="1"/>
    <col min="18" max="18" width="4.7109375" style="6" customWidth="1"/>
    <col min="19" max="16384" width="9.140625" style="6"/>
  </cols>
  <sheetData>
    <row r="1" spans="1:36" ht="17.25" customHeight="1" x14ac:dyDescent="0.25">
      <c r="A1" s="48" t="s">
        <v>195</v>
      </c>
      <c r="B1" s="112"/>
      <c r="C1" s="112"/>
      <c r="D1" s="4"/>
      <c r="E1" s="4"/>
      <c r="F1" s="4"/>
      <c r="G1" s="4"/>
      <c r="H1" s="4"/>
      <c r="I1" s="4"/>
      <c r="J1" s="4"/>
      <c r="K1" s="4"/>
      <c r="L1" s="3"/>
      <c r="M1" s="4"/>
      <c r="N1" s="3"/>
      <c r="O1" s="3"/>
      <c r="P1" s="3"/>
      <c r="Q1" s="3"/>
    </row>
    <row r="2" spans="1:36" ht="11.25" customHeight="1" thickBot="1" x14ac:dyDescent="0.3">
      <c r="A2" s="49"/>
      <c r="B2" s="112"/>
      <c r="C2" s="112"/>
      <c r="D2" s="4"/>
      <c r="E2" s="4"/>
      <c r="F2" s="4"/>
      <c r="G2" s="4"/>
      <c r="H2" s="4"/>
      <c r="I2" s="4"/>
      <c r="J2" s="4"/>
      <c r="K2" s="4"/>
      <c r="L2" s="3"/>
      <c r="M2" s="4"/>
      <c r="N2" s="3"/>
      <c r="O2" s="3"/>
      <c r="P2" s="3"/>
      <c r="Q2" s="3"/>
      <c r="R2" s="3"/>
    </row>
    <row r="3" spans="1:36" ht="72" customHeight="1" x14ac:dyDescent="0.2">
      <c r="A3" s="57"/>
      <c r="B3" s="59" t="s">
        <v>183</v>
      </c>
      <c r="C3" s="59" t="s">
        <v>233</v>
      </c>
      <c r="D3" s="22" t="s">
        <v>77</v>
      </c>
      <c r="E3" s="22" t="s">
        <v>160</v>
      </c>
      <c r="F3" s="719" t="s">
        <v>144</v>
      </c>
      <c r="G3" s="874" t="s">
        <v>112</v>
      </c>
      <c r="H3" s="874" t="s">
        <v>113</v>
      </c>
      <c r="I3" s="874" t="s">
        <v>0</v>
      </c>
      <c r="J3" s="875" t="s">
        <v>102</v>
      </c>
      <c r="K3" s="875" t="s">
        <v>142</v>
      </c>
      <c r="L3" s="876" t="s">
        <v>1</v>
      </c>
      <c r="M3" s="875" t="s">
        <v>114</v>
      </c>
      <c r="N3" s="876" t="s">
        <v>140</v>
      </c>
      <c r="O3" s="876" t="s">
        <v>158</v>
      </c>
      <c r="P3" s="876" t="s">
        <v>120</v>
      </c>
      <c r="Q3" s="1165" t="s">
        <v>94</v>
      </c>
      <c r="R3" s="1060"/>
    </row>
    <row r="4" spans="1:36" ht="29.25" customHeight="1" x14ac:dyDescent="0.2">
      <c r="A4" s="50" t="s">
        <v>31</v>
      </c>
      <c r="B4" s="61" t="s">
        <v>6</v>
      </c>
      <c r="C4" s="61" t="s">
        <v>6</v>
      </c>
      <c r="D4" s="24" t="s">
        <v>5</v>
      </c>
      <c r="E4" s="24" t="s">
        <v>3</v>
      </c>
      <c r="F4" s="24" t="s">
        <v>4</v>
      </c>
      <c r="G4" s="790" t="s">
        <v>2</v>
      </c>
      <c r="H4" s="790" t="s">
        <v>2</v>
      </c>
      <c r="I4" s="790" t="s">
        <v>2</v>
      </c>
      <c r="J4" s="790" t="s">
        <v>5</v>
      </c>
      <c r="K4" s="790" t="s">
        <v>3</v>
      </c>
      <c r="L4" s="790" t="s">
        <v>2</v>
      </c>
      <c r="M4" s="790" t="s">
        <v>2</v>
      </c>
      <c r="N4" s="790" t="s">
        <v>3</v>
      </c>
      <c r="O4" s="790" t="s">
        <v>4</v>
      </c>
      <c r="P4" s="790" t="s">
        <v>3</v>
      </c>
      <c r="Q4" s="1148" t="s">
        <v>2</v>
      </c>
      <c r="R4" s="1060"/>
    </row>
    <row r="5" spans="1:36" ht="15" customHeight="1" x14ac:dyDescent="0.2">
      <c r="A5" s="58" t="s">
        <v>13</v>
      </c>
      <c r="B5" s="32" t="s">
        <v>6</v>
      </c>
      <c r="C5" s="32" t="s">
        <v>6</v>
      </c>
      <c r="D5" s="25">
        <v>142.24700000000001</v>
      </c>
      <c r="E5" s="25">
        <v>143.85399999999998</v>
      </c>
      <c r="F5" s="25">
        <v>145.21899999999999</v>
      </c>
      <c r="G5" s="25">
        <v>145.53800000000001</v>
      </c>
      <c r="H5" s="25">
        <v>145.58699999999999</v>
      </c>
      <c r="I5" s="25">
        <v>146.17700000000002</v>
      </c>
      <c r="J5" s="25">
        <v>146.88900000000001</v>
      </c>
      <c r="K5" s="25">
        <v>148.09199999999998</v>
      </c>
      <c r="L5" s="25">
        <v>149.49799999999999</v>
      </c>
      <c r="M5" s="25">
        <v>149.61199999999999</v>
      </c>
      <c r="N5" s="25">
        <v>150.386</v>
      </c>
      <c r="O5" s="25">
        <v>151.35500000000002</v>
      </c>
      <c r="P5" s="25">
        <v>151.70600000000002</v>
      </c>
      <c r="Q5" s="28">
        <v>151.756</v>
      </c>
      <c r="R5" s="1060"/>
    </row>
    <row r="6" spans="1:36" s="27" customFormat="1" ht="17.25" customHeight="1" x14ac:dyDescent="0.2">
      <c r="A6" s="1022" t="s">
        <v>16</v>
      </c>
      <c r="B6" s="1023"/>
      <c r="C6" s="1023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559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619"/>
      <c r="AH6" s="378"/>
      <c r="AI6" s="477"/>
      <c r="AJ6" s="378"/>
    </row>
    <row r="7" spans="1:36" s="27" customFormat="1" ht="17.25" customHeight="1" x14ac:dyDescent="0.2">
      <c r="A7" s="493" t="s">
        <v>356</v>
      </c>
      <c r="B7" s="494">
        <v>100</v>
      </c>
      <c r="C7" s="495">
        <v>100.63169043621939</v>
      </c>
      <c r="D7" s="496">
        <v>98.593256838739251</v>
      </c>
      <c r="E7" s="496">
        <v>105.08035940518455</v>
      </c>
      <c r="F7" s="496">
        <v>99.364733082447998</v>
      </c>
      <c r="G7" s="496">
        <v>101.16700840211234</v>
      </c>
      <c r="H7" s="496">
        <v>99.1652565548561</v>
      </c>
      <c r="I7" s="496">
        <v>97.142499531901748</v>
      </c>
      <c r="J7" s="496">
        <v>99.492294081025889</v>
      </c>
      <c r="K7" s="496">
        <v>103.93048073993278</v>
      </c>
      <c r="L7" s="496">
        <v>102.42268837669553</v>
      </c>
      <c r="M7" s="496">
        <v>99.859010527278571</v>
      </c>
      <c r="N7" s="496">
        <v>99.01574389585295</v>
      </c>
      <c r="O7" s="496">
        <v>101.05230188864489</v>
      </c>
      <c r="P7" s="496">
        <v>97.66958525516003</v>
      </c>
      <c r="Q7" s="699">
        <v>102.33548626063062</v>
      </c>
      <c r="R7" s="559"/>
    </row>
    <row r="8" spans="1:36" s="27" customFormat="1" ht="17.25" customHeight="1" x14ac:dyDescent="0.2">
      <c r="A8" s="885" t="s">
        <v>370</v>
      </c>
      <c r="B8" s="498">
        <f>65+12.1948785603773</f>
        <v>77.194878560377305</v>
      </c>
      <c r="C8" s="499">
        <f>65+12.6020552763254</f>
        <v>77.602055276325402</v>
      </c>
      <c r="D8" s="500">
        <f>65+10.5448354220578</f>
        <v>75.544835422057801</v>
      </c>
      <c r="E8" s="500">
        <f>65+13.1380537752973</f>
        <v>78.138053775297294</v>
      </c>
      <c r="F8" s="500">
        <f>65+12.6471284904316</f>
        <v>77.647128490431598</v>
      </c>
      <c r="G8" s="500">
        <f>65+12.7125543316251</f>
        <v>77.7125543316251</v>
      </c>
      <c r="H8" s="500">
        <f>65+11.5868715410354</f>
        <v>76.586871541035407</v>
      </c>
      <c r="I8" s="500">
        <f>65+13.3019562365198</f>
        <v>78.3019562365198</v>
      </c>
      <c r="J8" s="500">
        <f>65+10.8728959663875</f>
        <v>75.872895966387503</v>
      </c>
      <c r="K8" s="500">
        <f>65+13.5081189992921</f>
        <v>78.508118999292094</v>
      </c>
      <c r="L8" s="500">
        <f>65+12.8613433489225</f>
        <v>77.861343348922503</v>
      </c>
      <c r="M8" s="500">
        <f>65+13.436227502978</f>
        <v>78.436227502977999</v>
      </c>
      <c r="N8" s="500">
        <f>65+12.8339523326254</f>
        <v>77.833952332625401</v>
      </c>
      <c r="O8" s="500">
        <f>65+11.8363871086306</f>
        <v>76.836387108630603</v>
      </c>
      <c r="P8" s="500">
        <f>65+12.1279285060848</f>
        <v>77.1279285060848</v>
      </c>
      <c r="Q8" s="501">
        <f>65+12.6725677296634</f>
        <v>77.672567729663399</v>
      </c>
      <c r="R8" s="559"/>
    </row>
    <row r="9" spans="1:36" s="27" customFormat="1" ht="17.25" customHeight="1" x14ac:dyDescent="0.2">
      <c r="A9" s="344" t="s">
        <v>355</v>
      </c>
      <c r="B9" s="503">
        <v>100</v>
      </c>
      <c r="C9" s="555">
        <v>101.0826022007209</v>
      </c>
      <c r="D9" s="232">
        <v>96.389383895015996</v>
      </c>
      <c r="E9" s="232">
        <v>106.4706097077528</v>
      </c>
      <c r="F9" s="232">
        <v>99.934525973974417</v>
      </c>
      <c r="G9" s="232">
        <v>101.87535777135746</v>
      </c>
      <c r="H9" s="232">
        <v>98.140007991170535</v>
      </c>
      <c r="I9" s="232">
        <v>98.319285060094728</v>
      </c>
      <c r="J9" s="232">
        <v>97.955297744501294</v>
      </c>
      <c r="K9" s="232">
        <v>105.42589424837863</v>
      </c>
      <c r="L9" s="232">
        <v>103.32588057780981</v>
      </c>
      <c r="M9" s="232">
        <v>101.4762390874009</v>
      </c>
      <c r="N9" s="232">
        <v>99.657747846603428</v>
      </c>
      <c r="O9" s="232">
        <v>100.3257211625684</v>
      </c>
      <c r="P9" s="232">
        <v>97.510687229771577</v>
      </c>
      <c r="Q9" s="357">
        <v>102.83880395295461</v>
      </c>
      <c r="R9" s="559"/>
    </row>
    <row r="10" spans="1:36" s="27" customFormat="1" ht="16.5" customHeight="1" x14ac:dyDescent="0.2">
      <c r="A10" s="490" t="s">
        <v>17</v>
      </c>
      <c r="B10" s="241"/>
      <c r="C10" s="491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559"/>
    </row>
    <row r="11" spans="1:36" s="27" customFormat="1" ht="17.25" customHeight="1" x14ac:dyDescent="0.2">
      <c r="A11" s="511" t="s">
        <v>353</v>
      </c>
      <c r="B11" s="512">
        <v>100</v>
      </c>
      <c r="C11" s="513">
        <v>100.65713934127963</v>
      </c>
      <c r="D11" s="701">
        <v>102.43314475882448</v>
      </c>
      <c r="E11" s="701">
        <v>104.45631952544558</v>
      </c>
      <c r="F11" s="701">
        <v>98.631697690554276</v>
      </c>
      <c r="G11" s="701">
        <v>101.69042667749049</v>
      </c>
      <c r="H11" s="701">
        <v>100.21468830733035</v>
      </c>
      <c r="I11" s="701">
        <v>95.252998830292455</v>
      </c>
      <c r="J11" s="701">
        <v>99.276414117583258</v>
      </c>
      <c r="K11" s="701">
        <v>100.41519440733602</v>
      </c>
      <c r="L11" s="701">
        <v>98.626209635759238</v>
      </c>
      <c r="M11" s="701">
        <v>100.70483743907234</v>
      </c>
      <c r="N11" s="701">
        <v>97.939436599129451</v>
      </c>
      <c r="O11" s="701">
        <v>99.112046211385945</v>
      </c>
      <c r="P11" s="701">
        <v>95.963783331378892</v>
      </c>
      <c r="Q11" s="702">
        <v>100.01860494122536</v>
      </c>
      <c r="R11" s="559"/>
    </row>
    <row r="12" spans="1:36" s="27" customFormat="1" ht="27" customHeight="1" x14ac:dyDescent="0.2">
      <c r="A12" s="281" t="s">
        <v>168</v>
      </c>
      <c r="B12" s="229">
        <v>100</v>
      </c>
      <c r="C12" s="356">
        <v>98.876830830553558</v>
      </c>
      <c r="D12" s="232">
        <v>100.62093200299267</v>
      </c>
      <c r="E12" s="232">
        <v>100.91945400081291</v>
      </c>
      <c r="F12" s="232">
        <v>94.701344269547718</v>
      </c>
      <c r="G12" s="232">
        <v>100.02908267970959</v>
      </c>
      <c r="H12" s="232">
        <v>94.776758908984263</v>
      </c>
      <c r="I12" s="232">
        <v>93.921745730597067</v>
      </c>
      <c r="J12" s="232">
        <v>97.33432361994879</v>
      </c>
      <c r="K12" s="232">
        <v>100.81729165044852</v>
      </c>
      <c r="L12" s="232">
        <v>97.866094208888128</v>
      </c>
      <c r="M12" s="232">
        <v>99.460514477621999</v>
      </c>
      <c r="N12" s="232">
        <v>97.780005841520506</v>
      </c>
      <c r="O12" s="232">
        <v>96.46054512564632</v>
      </c>
      <c r="P12" s="232">
        <v>96.032012456587935</v>
      </c>
      <c r="Q12" s="357">
        <v>101.24096725589841</v>
      </c>
      <c r="R12" s="559"/>
    </row>
    <row r="13" spans="1:36" s="27" customFormat="1" ht="17.25" customHeight="1" x14ac:dyDescent="0.2">
      <c r="A13" s="511" t="s">
        <v>169</v>
      </c>
      <c r="B13" s="512">
        <v>100</v>
      </c>
      <c r="C13" s="513">
        <v>101.86617461064728</v>
      </c>
      <c r="D13" s="701">
        <v>104.97124930811911</v>
      </c>
      <c r="E13" s="701">
        <v>105.84878265596056</v>
      </c>
      <c r="F13" s="701">
        <v>104.0280685095469</v>
      </c>
      <c r="G13" s="701">
        <v>100.71714867326676</v>
      </c>
      <c r="H13" s="701">
        <v>104.08468026149377</v>
      </c>
      <c r="I13" s="701">
        <v>95.219494820648251</v>
      </c>
      <c r="J13" s="701">
        <v>96.579561485638138</v>
      </c>
      <c r="K13" s="701">
        <v>104.973091607082</v>
      </c>
      <c r="L13" s="701">
        <v>101.14121795453217</v>
      </c>
      <c r="M13" s="701">
        <v>100.84163392091263</v>
      </c>
      <c r="N13" s="701">
        <v>102.16532170790742</v>
      </c>
      <c r="O13" s="701">
        <v>98.217659066287794</v>
      </c>
      <c r="P13" s="701">
        <v>97.616774078436805</v>
      </c>
      <c r="Q13" s="702">
        <v>101.82123558691599</v>
      </c>
      <c r="R13" s="559"/>
    </row>
    <row r="14" spans="1:36" s="27" customFormat="1" ht="17.25" customHeight="1" x14ac:dyDescent="0.2">
      <c r="A14" s="519" t="s">
        <v>352</v>
      </c>
      <c r="B14" s="515">
        <v>100</v>
      </c>
      <c r="C14" s="557">
        <v>101.27682452812236</v>
      </c>
      <c r="D14" s="704">
        <v>103.54991076051412</v>
      </c>
      <c r="E14" s="704">
        <v>104.95362778634379</v>
      </c>
      <c r="F14" s="704">
        <v>100.21886557849328</v>
      </c>
      <c r="G14" s="704">
        <v>101.18432211529417</v>
      </c>
      <c r="H14" s="704">
        <v>102.22708412349533</v>
      </c>
      <c r="I14" s="704">
        <v>95.237044539985689</v>
      </c>
      <c r="J14" s="704">
        <v>97.927987801610698</v>
      </c>
      <c r="K14" s="704">
        <v>102.36857892151286</v>
      </c>
      <c r="L14" s="704">
        <v>99.680890543631762</v>
      </c>
      <c r="M14" s="704">
        <v>100.77597160962928</v>
      </c>
      <c r="N14" s="704">
        <v>99.750530217177158</v>
      </c>
      <c r="O14" s="704">
        <v>98.705506599977696</v>
      </c>
      <c r="P14" s="704">
        <v>96.826213286365615</v>
      </c>
      <c r="Q14" s="703">
        <v>100.91992026407068</v>
      </c>
      <c r="R14" s="559"/>
    </row>
    <row r="15" spans="1:36" s="27" customFormat="1" ht="17.25" customHeight="1" x14ac:dyDescent="0.2">
      <c r="A15" s="533" t="s">
        <v>18</v>
      </c>
      <c r="B15" s="534"/>
      <c r="C15" s="535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559"/>
    </row>
    <row r="16" spans="1:36" s="27" customFormat="1" ht="17.25" customHeight="1" x14ac:dyDescent="0.2">
      <c r="A16" s="348" t="s">
        <v>129</v>
      </c>
      <c r="B16" s="515">
        <v>64.704692993321601</v>
      </c>
      <c r="C16" s="516">
        <v>67.022811167939182</v>
      </c>
      <c r="D16" s="704">
        <v>66.344242237320486</v>
      </c>
      <c r="E16" s="704">
        <v>63.062020266356299</v>
      </c>
      <c r="F16" s="704">
        <v>67.879277520436034</v>
      </c>
      <c r="G16" s="704">
        <v>65.674135070906928</v>
      </c>
      <c r="H16" s="704">
        <v>63.99121195496668</v>
      </c>
      <c r="I16" s="704">
        <v>72.175056119816247</v>
      </c>
      <c r="J16" s="704">
        <v>65.253674791821709</v>
      </c>
      <c r="K16" s="704">
        <v>72.208101376263272</v>
      </c>
      <c r="L16" s="704">
        <v>65.143819870493815</v>
      </c>
      <c r="M16" s="704">
        <v>70.546134908149938</v>
      </c>
      <c r="N16" s="704">
        <v>66.41568470959659</v>
      </c>
      <c r="O16" s="704">
        <v>64.332853599689628</v>
      </c>
      <c r="P16" s="704">
        <v>70.064592118038675</v>
      </c>
      <c r="Q16" s="703">
        <v>67.879762737733188</v>
      </c>
      <c r="R16" s="559"/>
    </row>
    <row r="17" spans="1:61" s="211" customFormat="1" ht="17.25" customHeight="1" x14ac:dyDescent="0.2">
      <c r="A17" s="348" t="s">
        <v>27</v>
      </c>
      <c r="B17" s="512">
        <v>60.745223487986109</v>
      </c>
      <c r="C17" s="513">
        <v>64.236528570149318</v>
      </c>
      <c r="D17" s="708">
        <v>61.81559906409268</v>
      </c>
      <c r="E17" s="708">
        <v>62.112286526577449</v>
      </c>
      <c r="F17" s="708">
        <v>63.859700681384631</v>
      </c>
      <c r="G17" s="708">
        <v>63.796145623633727</v>
      </c>
      <c r="H17" s="708">
        <v>59.716781653914651</v>
      </c>
      <c r="I17" s="708">
        <v>67.164756804454925</v>
      </c>
      <c r="J17" s="708">
        <v>62.713231733060766</v>
      </c>
      <c r="K17" s="708">
        <v>69.610965547206931</v>
      </c>
      <c r="L17" s="708">
        <v>64.959647757134263</v>
      </c>
      <c r="M17" s="708">
        <v>67.115256671630263</v>
      </c>
      <c r="N17" s="701">
        <v>62.157965547206906</v>
      </c>
      <c r="O17" s="708">
        <v>62.855470778798946</v>
      </c>
      <c r="P17" s="708">
        <v>64.995458274679521</v>
      </c>
      <c r="Q17" s="709">
        <v>66.317930331418609</v>
      </c>
      <c r="R17" s="559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</row>
    <row r="18" spans="1:61" s="218" customFormat="1" ht="17.25" customHeight="1" x14ac:dyDescent="0.2">
      <c r="A18" s="519" t="s">
        <v>130</v>
      </c>
      <c r="B18" s="1026">
        <v>6.2097437959579302</v>
      </c>
      <c r="C18" s="504">
        <v>6.6223638030252054</v>
      </c>
      <c r="D18" s="718">
        <v>6.4279998485062393</v>
      </c>
      <c r="E18" s="718">
        <v>6.1925774311816628</v>
      </c>
      <c r="F18" s="718">
        <v>6.740561754053914</v>
      </c>
      <c r="G18" s="718">
        <v>6.4950396679027467</v>
      </c>
      <c r="H18" s="718">
        <v>6.0810193407981235</v>
      </c>
      <c r="I18" s="718">
        <v>7.2213079398378692</v>
      </c>
      <c r="J18" s="718">
        <v>6.378330289347474</v>
      </c>
      <c r="K18" s="718">
        <v>7.4089577026395776</v>
      </c>
      <c r="L18" s="718">
        <v>6.5419030559083406</v>
      </c>
      <c r="M18" s="718">
        <v>7.0835709850072082</v>
      </c>
      <c r="N18" s="718">
        <v>6.4743192169252879</v>
      </c>
      <c r="O18" s="718">
        <v>6.340731102565405</v>
      </c>
      <c r="P18" s="718">
        <v>6.8966646207168019</v>
      </c>
      <c r="Q18" s="1034">
        <v>6.8298252183927435</v>
      </c>
      <c r="R18" s="559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61" s="211" customFormat="1" ht="17.25" customHeight="1" x14ac:dyDescent="0.2">
      <c r="A19" s="505" t="s">
        <v>15</v>
      </c>
      <c r="B19" s="506"/>
      <c r="C19" s="507"/>
      <c r="D19" s="508"/>
      <c r="E19" s="508"/>
      <c r="F19" s="508"/>
      <c r="G19" s="508"/>
      <c r="H19" s="508"/>
      <c r="I19" s="508"/>
      <c r="J19" s="508"/>
      <c r="K19" s="508"/>
      <c r="L19" s="509"/>
      <c r="M19" s="508"/>
      <c r="N19" s="509"/>
      <c r="O19" s="509"/>
      <c r="P19" s="508"/>
      <c r="Q19" s="509"/>
      <c r="R19" s="559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</row>
    <row r="20" spans="1:61" s="27" customFormat="1" ht="17.25" customHeight="1" x14ac:dyDescent="0.2">
      <c r="A20" s="493" t="s">
        <v>359</v>
      </c>
      <c r="B20" s="494">
        <v>100</v>
      </c>
      <c r="C20" s="556">
        <v>103.29620047495766</v>
      </c>
      <c r="D20" s="714">
        <v>100.85988260520119</v>
      </c>
      <c r="E20" s="714">
        <v>110.30447316572557</v>
      </c>
      <c r="F20" s="714">
        <v>107.54026559995076</v>
      </c>
      <c r="G20" s="714">
        <v>98.925171405690946</v>
      </c>
      <c r="H20" s="714">
        <v>116.11548444167428</v>
      </c>
      <c r="I20" s="714">
        <v>102.66118437778637</v>
      </c>
      <c r="J20" s="714">
        <v>93.702946007020685</v>
      </c>
      <c r="K20" s="714">
        <v>105.67726203645454</v>
      </c>
      <c r="L20" s="714">
        <v>93.627939851134826</v>
      </c>
      <c r="M20" s="714">
        <v>99.414310872245679</v>
      </c>
      <c r="N20" s="714">
        <v>104.33344990250275</v>
      </c>
      <c r="O20" s="714">
        <v>103.39790382611291</v>
      </c>
      <c r="P20" s="714">
        <v>92.39929359989199</v>
      </c>
      <c r="Q20" s="1166">
        <v>98.729835180219794</v>
      </c>
      <c r="R20" s="559"/>
    </row>
    <row r="21" spans="1:61" s="211" customFormat="1" ht="17.25" customHeight="1" x14ac:dyDescent="0.2">
      <c r="A21" s="511" t="s">
        <v>360</v>
      </c>
      <c r="B21" s="512">
        <v>100</v>
      </c>
      <c r="C21" s="513">
        <v>105.22134684529526</v>
      </c>
      <c r="D21" s="701">
        <v>105.01889869465703</v>
      </c>
      <c r="E21" s="701">
        <v>111.87290725397381</v>
      </c>
      <c r="F21" s="701">
        <v>109.82437262839127</v>
      </c>
      <c r="G21" s="701">
        <v>104.53956721360842</v>
      </c>
      <c r="H21" s="701">
        <v>109.33521481276104</v>
      </c>
      <c r="I21" s="701">
        <v>103.11476345466255</v>
      </c>
      <c r="J21" s="701">
        <v>98.225280186257649</v>
      </c>
      <c r="K21" s="701">
        <v>109.48391795418357</v>
      </c>
      <c r="L21" s="701">
        <v>102.58514419978727</v>
      </c>
      <c r="M21" s="701">
        <v>104.50805927423423</v>
      </c>
      <c r="N21" s="701">
        <v>104.70083707197914</v>
      </c>
      <c r="O21" s="701">
        <v>106.18491917783879</v>
      </c>
      <c r="P21" s="701">
        <v>97.9470126679537</v>
      </c>
      <c r="Q21" s="702">
        <v>102.50254608057745</v>
      </c>
      <c r="R21" s="559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</row>
    <row r="22" spans="1:61" s="211" customFormat="1" ht="17.25" customHeight="1" x14ac:dyDescent="0.2">
      <c r="A22" s="511" t="s">
        <v>361</v>
      </c>
      <c r="B22" s="512">
        <v>100</v>
      </c>
      <c r="C22" s="513">
        <v>97.223343427851859</v>
      </c>
      <c r="D22" s="701">
        <v>96.800267472293058</v>
      </c>
      <c r="E22" s="701">
        <v>99.840411300283449</v>
      </c>
      <c r="F22" s="701">
        <v>95.62634645771108</v>
      </c>
      <c r="G22" s="701">
        <v>98.415184473298225</v>
      </c>
      <c r="H22" s="701">
        <v>93.453821889313204</v>
      </c>
      <c r="I22" s="701">
        <v>92.109573990050563</v>
      </c>
      <c r="J22" s="701">
        <v>98.423362825967999</v>
      </c>
      <c r="K22" s="701">
        <v>101.33312764293619</v>
      </c>
      <c r="L22" s="701">
        <v>99.44198744321406</v>
      </c>
      <c r="M22" s="701">
        <v>97.097036469043402</v>
      </c>
      <c r="N22" s="701">
        <v>96.881665946195113</v>
      </c>
      <c r="O22" s="701">
        <v>99.950595995747335</v>
      </c>
      <c r="P22" s="701">
        <v>98.061053232146094</v>
      </c>
      <c r="Q22" s="702">
        <v>99.927330879752631</v>
      </c>
      <c r="R22" s="559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s="211" customFormat="1" ht="17.25" customHeight="1" x14ac:dyDescent="0.2">
      <c r="A23" s="511" t="s">
        <v>362</v>
      </c>
      <c r="B23" s="512">
        <v>100</v>
      </c>
      <c r="C23" s="513">
        <v>100.64073680912009</v>
      </c>
      <c r="D23" s="701">
        <v>97.093533751074858</v>
      </c>
      <c r="E23" s="701">
        <v>106.70747444863861</v>
      </c>
      <c r="F23" s="701">
        <v>94.495007640127753</v>
      </c>
      <c r="G23" s="701">
        <v>101.60919917616783</v>
      </c>
      <c r="H23" s="701">
        <v>97.389190177807251</v>
      </c>
      <c r="I23" s="701">
        <v>96.819129154049406</v>
      </c>
      <c r="J23" s="701">
        <v>102.42578172400749</v>
      </c>
      <c r="K23" s="701">
        <v>102.33671830183181</v>
      </c>
      <c r="L23" s="701">
        <v>104.35731510180008</v>
      </c>
      <c r="M23" s="701">
        <v>99.510128311708471</v>
      </c>
      <c r="N23" s="701">
        <v>96.397937572641254</v>
      </c>
      <c r="O23" s="701">
        <v>98.403333189702096</v>
      </c>
      <c r="P23" s="701">
        <v>97.651357365679814</v>
      </c>
      <c r="Q23" s="702">
        <v>104.05442957079681</v>
      </c>
      <c r="R23" s="559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s="211" customFormat="1" ht="17.25" customHeight="1" x14ac:dyDescent="0.2">
      <c r="A24" s="511" t="s">
        <v>363</v>
      </c>
      <c r="B24" s="515">
        <v>100</v>
      </c>
      <c r="C24" s="516">
        <v>102.44480223564355</v>
      </c>
      <c r="D24" s="704">
        <v>96.113652627141917</v>
      </c>
      <c r="E24" s="704">
        <v>105.03712946746522</v>
      </c>
      <c r="F24" s="704">
        <v>101.55738437855693</v>
      </c>
      <c r="G24" s="704">
        <v>102.38923744343661</v>
      </c>
      <c r="H24" s="704">
        <v>101.39222220755485</v>
      </c>
      <c r="I24" s="704">
        <v>102.68013904194896</v>
      </c>
      <c r="J24" s="704">
        <v>99.481448770515968</v>
      </c>
      <c r="K24" s="704">
        <v>105.08377022533037</v>
      </c>
      <c r="L24" s="704">
        <v>107.09773043714887</v>
      </c>
      <c r="M24" s="704">
        <v>100.64703043252121</v>
      </c>
      <c r="N24" s="704">
        <v>100.57103831986534</v>
      </c>
      <c r="O24" s="704">
        <v>100.43835398996539</v>
      </c>
      <c r="P24" s="704">
        <v>96.700608660717478</v>
      </c>
      <c r="Q24" s="703">
        <v>105.3507188590616</v>
      </c>
      <c r="R24" s="559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s="211" customFormat="1" ht="17.25" customHeight="1" x14ac:dyDescent="0.2">
      <c r="A25" s="521" t="s">
        <v>30</v>
      </c>
      <c r="B25" s="522"/>
      <c r="C25" s="523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59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</row>
    <row r="26" spans="1:61" s="211" customFormat="1" ht="17.25" customHeight="1" x14ac:dyDescent="0.2">
      <c r="A26" s="493" t="s">
        <v>338</v>
      </c>
      <c r="B26" s="494">
        <v>100</v>
      </c>
      <c r="C26" s="495">
        <v>100.84790029593056</v>
      </c>
      <c r="D26" s="496">
        <v>107.28450890457995</v>
      </c>
      <c r="E26" s="496">
        <v>102.33139953120744</v>
      </c>
      <c r="F26" s="496">
        <v>102.53594296948201</v>
      </c>
      <c r="G26" s="496">
        <v>104.16609277349447</v>
      </c>
      <c r="H26" s="496">
        <v>101.99734289739814</v>
      </c>
      <c r="I26" s="496">
        <v>95.771664651949678</v>
      </c>
      <c r="J26" s="496">
        <v>99.432844983187564</v>
      </c>
      <c r="K26" s="496">
        <v>100.92374359493948</v>
      </c>
      <c r="L26" s="496">
        <v>95.97364970220228</v>
      </c>
      <c r="M26" s="496">
        <v>98.610612085094559</v>
      </c>
      <c r="N26" s="496">
        <v>96.816240484631152</v>
      </c>
      <c r="O26" s="496">
        <v>94.284197360599165</v>
      </c>
      <c r="P26" s="496">
        <v>96.100192912662351</v>
      </c>
      <c r="Q26" s="699">
        <v>98.617553452195025</v>
      </c>
      <c r="R26" s="559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61" s="558" customFormat="1" ht="17.25" customHeight="1" x14ac:dyDescent="0.2">
      <c r="A27" s="885" t="s">
        <v>369</v>
      </c>
      <c r="B27" s="525">
        <f>65+6.88703153392881</f>
        <v>71.887031533928806</v>
      </c>
      <c r="C27" s="499">
        <f>65+7.07085793</f>
        <v>72.070857930000003</v>
      </c>
      <c r="D27" s="500">
        <f>65+4.15138742287759</f>
        <v>69.15138742287759</v>
      </c>
      <c r="E27" s="500">
        <f>65+6.6448334794278</f>
        <v>71.644833479427803</v>
      </c>
      <c r="F27" s="500">
        <f>65+4.10041952040567</f>
        <v>69.100419520405666</v>
      </c>
      <c r="G27" s="500">
        <f>65+6.64533944750157</f>
        <v>71.64533944750157</v>
      </c>
      <c r="H27" s="500">
        <f>65+5.35126047832929</f>
        <v>70.351260478329294</v>
      </c>
      <c r="I27" s="500">
        <f>65+6.78798230014051</f>
        <v>71.787982300140513</v>
      </c>
      <c r="J27" s="500">
        <f>65+7.02783218440433</f>
        <v>72.027832184404332</v>
      </c>
      <c r="K27" s="500">
        <f>65+7.52205074207745</f>
        <v>72.522050742077454</v>
      </c>
      <c r="L27" s="500">
        <f>65+8.64486381915017</f>
        <v>73.644863819150174</v>
      </c>
      <c r="M27" s="500">
        <f>65+7.16862294847526</f>
        <v>72.16862294847526</v>
      </c>
      <c r="N27" s="500">
        <f>65+8.12245374195018</f>
        <v>73.122453741950181</v>
      </c>
      <c r="O27" s="500">
        <f>65+7.31025759472097</f>
        <v>72.310257594720966</v>
      </c>
      <c r="P27" s="500">
        <f>65+7.32354878544909</f>
        <v>72.323548785449091</v>
      </c>
      <c r="Q27" s="501">
        <f>65+9.11820884496422</f>
        <v>74.118208844964215</v>
      </c>
      <c r="R27" s="638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  <c r="BG27" s="432"/>
      <c r="BH27" s="432"/>
      <c r="BI27" s="432"/>
    </row>
    <row r="28" spans="1:61" s="211" customFormat="1" ht="17.25" customHeight="1" x14ac:dyDescent="0.2">
      <c r="A28" s="511" t="s">
        <v>339</v>
      </c>
      <c r="B28" s="512">
        <v>100</v>
      </c>
      <c r="C28" s="513">
        <v>95.250563892205747</v>
      </c>
      <c r="D28" s="701">
        <v>100.2414177606322</v>
      </c>
      <c r="E28" s="701">
        <v>96.054470508099655</v>
      </c>
      <c r="F28" s="701">
        <v>85.862203127475908</v>
      </c>
      <c r="G28" s="701">
        <v>94.263588328652517</v>
      </c>
      <c r="H28" s="701">
        <v>85.27575587487442</v>
      </c>
      <c r="I28" s="701">
        <v>91.847068009955564</v>
      </c>
      <c r="J28" s="701">
        <v>94.945414831546628</v>
      </c>
      <c r="K28" s="701">
        <v>95.443059777152115</v>
      </c>
      <c r="L28" s="701">
        <v>98.910756148689998</v>
      </c>
      <c r="M28" s="701">
        <v>102.23591837110284</v>
      </c>
      <c r="N28" s="701">
        <v>95.172109836476054</v>
      </c>
      <c r="O28" s="701">
        <v>100.64666237743896</v>
      </c>
      <c r="P28" s="701">
        <v>94.506252965476548</v>
      </c>
      <c r="Q28" s="702">
        <v>99.226993025142647</v>
      </c>
      <c r="R28" s="559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:61" s="27" customFormat="1" ht="17.25" customHeight="1" x14ac:dyDescent="0.2">
      <c r="A29" s="915" t="s">
        <v>372</v>
      </c>
      <c r="B29" s="525">
        <f>65+8.19616136642111</f>
        <v>73.196161366421109</v>
      </c>
      <c r="C29" s="499">
        <f>65+8.05798616852313</f>
        <v>73.057986168523129</v>
      </c>
      <c r="D29" s="500">
        <f>65+4.89077826293335</f>
        <v>69.890778262933352</v>
      </c>
      <c r="E29" s="500">
        <f>65+10.4113314809008</f>
        <v>75.411331480900799</v>
      </c>
      <c r="F29" s="500">
        <f>65+9.28031675673641</f>
        <v>74.280316756736411</v>
      </c>
      <c r="G29" s="500">
        <f>65+6.82627536081063</f>
        <v>71.826275360810627</v>
      </c>
      <c r="H29" s="500">
        <f>65+9.20536415343599</f>
        <v>74.205364153435994</v>
      </c>
      <c r="I29" s="500">
        <f>65+7.93512175015039</f>
        <v>72.935121750150387</v>
      </c>
      <c r="J29" s="500">
        <f>65+8.14981029904691</f>
        <v>73.149810299046905</v>
      </c>
      <c r="K29" s="500">
        <f>65+9.71540184232155</f>
        <v>74.715401842321555</v>
      </c>
      <c r="L29" s="500">
        <f>65+7.08534979573973</f>
        <v>72.085349795739731</v>
      </c>
      <c r="M29" s="500">
        <f>65+7.57823205674737</f>
        <v>72.578232056747368</v>
      </c>
      <c r="N29" s="500">
        <f>65+8.76630071425718</f>
        <v>73.766300714257184</v>
      </c>
      <c r="O29" s="500">
        <f>65+7.18340027708369</f>
        <v>72.183400277083692</v>
      </c>
      <c r="P29" s="500">
        <f>65+7.79811210687495</f>
        <v>72.798112106874953</v>
      </c>
      <c r="Q29" s="501">
        <f>65+8.62207310309851</f>
        <v>73.622073103098515</v>
      </c>
      <c r="R29" s="559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</row>
    <row r="30" spans="1:61" s="211" customFormat="1" ht="17.25" customHeight="1" x14ac:dyDescent="0.2">
      <c r="A30" s="511" t="s">
        <v>340</v>
      </c>
      <c r="B30" s="512">
        <v>100</v>
      </c>
      <c r="C30" s="513">
        <v>101.08051796445984</v>
      </c>
      <c r="D30" s="701">
        <v>94.675503300217741</v>
      </c>
      <c r="E30" s="701">
        <v>110.28156775633924</v>
      </c>
      <c r="F30" s="701">
        <v>103.42925356950485</v>
      </c>
      <c r="G30" s="701">
        <v>99.753007913690325</v>
      </c>
      <c r="H30" s="701">
        <v>104.24597014615212</v>
      </c>
      <c r="I30" s="701">
        <v>95.508370502334188</v>
      </c>
      <c r="J30" s="701">
        <v>102.79967362940516</v>
      </c>
      <c r="K30" s="701">
        <v>101.25551660102876</v>
      </c>
      <c r="L30" s="701">
        <v>95.540019655554303</v>
      </c>
      <c r="M30" s="701">
        <v>100.56076114646318</v>
      </c>
      <c r="N30" s="701">
        <v>100.62954767400186</v>
      </c>
      <c r="O30" s="701">
        <v>100.74040422637268</v>
      </c>
      <c r="P30" s="701">
        <v>96.405620522670574</v>
      </c>
      <c r="Q30" s="702">
        <v>99.762332648297175</v>
      </c>
      <c r="R30" s="559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61" s="211" customFormat="1" ht="17.25" customHeight="1" x14ac:dyDescent="0.2">
      <c r="A31" s="806" t="s">
        <v>354</v>
      </c>
      <c r="B31" s="530">
        <v>100</v>
      </c>
      <c r="C31" s="513">
        <v>109.88039304813212</v>
      </c>
      <c r="D31" s="701">
        <v>103.15369507665827</v>
      </c>
      <c r="E31" s="704">
        <v>117.25882831269203</v>
      </c>
      <c r="F31" s="704">
        <v>103.32746680100838</v>
      </c>
      <c r="G31" s="704">
        <v>110.97945615774972</v>
      </c>
      <c r="H31" s="704">
        <v>114.14482214062704</v>
      </c>
      <c r="I31" s="706">
        <v>100.78669053115796</v>
      </c>
      <c r="J31" s="706">
        <v>104.71068840273378</v>
      </c>
      <c r="K31" s="706">
        <v>106.35644765422042</v>
      </c>
      <c r="L31" s="706">
        <v>109.86478375594668</v>
      </c>
      <c r="M31" s="706">
        <v>107.44077855140543</v>
      </c>
      <c r="N31" s="706">
        <v>103.27638130337368</v>
      </c>
      <c r="O31" s="706">
        <v>109.31094570584341</v>
      </c>
      <c r="P31" s="706">
        <v>98.806830433440652</v>
      </c>
      <c r="Q31" s="707">
        <v>106.95651534274629</v>
      </c>
      <c r="R31" s="559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:61" s="27" customFormat="1" ht="17.25" customHeight="1" x14ac:dyDescent="0.2">
      <c r="A32" s="533" t="s">
        <v>18</v>
      </c>
      <c r="B32" s="534"/>
      <c r="C32" s="535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559"/>
    </row>
    <row r="33" spans="1:61" s="27" customFormat="1" ht="17.25" customHeight="1" x14ac:dyDescent="0.2">
      <c r="A33" s="539" t="s">
        <v>7</v>
      </c>
      <c r="B33" s="540">
        <v>7.0198940960471443</v>
      </c>
      <c r="C33" s="532">
        <v>7.1571932051821658</v>
      </c>
      <c r="D33" s="541">
        <v>6.8126875609891071</v>
      </c>
      <c r="E33" s="868">
        <v>7.1419472576144711</v>
      </c>
      <c r="F33" s="541">
        <v>7.0467387043723431</v>
      </c>
      <c r="G33" s="541">
        <v>7.1914998101906278</v>
      </c>
      <c r="H33" s="541">
        <v>7.1914998101906296</v>
      </c>
      <c r="I33" s="541">
        <v>7.05687160871876</v>
      </c>
      <c r="J33" s="541">
        <v>7.0696612691228609</v>
      </c>
      <c r="K33" s="541">
        <v>7.1898770470837192</v>
      </c>
      <c r="L33" s="541">
        <v>6.9905221809019178</v>
      </c>
      <c r="M33" s="541">
        <v>7.0664997800973453</v>
      </c>
      <c r="N33" s="541">
        <v>7.039877077578244</v>
      </c>
      <c r="O33" s="868" t="s">
        <v>358</v>
      </c>
      <c r="P33" s="541">
        <v>7.1873718341275818</v>
      </c>
      <c r="Q33" s="542">
        <v>7.179273420250059</v>
      </c>
      <c r="R33" s="559"/>
    </row>
    <row r="34" spans="1:61" s="27" customFormat="1" ht="17.25" customHeight="1" x14ac:dyDescent="0.2">
      <c r="A34" s="533" t="s">
        <v>19</v>
      </c>
      <c r="B34" s="534"/>
      <c r="C34" s="535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60"/>
      <c r="O34" s="536"/>
      <c r="P34" s="536"/>
      <c r="Q34" s="560"/>
      <c r="R34" s="559"/>
    </row>
    <row r="35" spans="1:61" s="27" customFormat="1" ht="17.25" customHeight="1" x14ac:dyDescent="0.2">
      <c r="A35" s="543" t="s">
        <v>8</v>
      </c>
      <c r="B35" s="544">
        <v>6.1385366578673457</v>
      </c>
      <c r="C35" s="380">
        <v>7.1503311258278144</v>
      </c>
      <c r="D35" s="545">
        <v>7.9807947019867544</v>
      </c>
      <c r="E35" s="545">
        <v>7.4523178807947019</v>
      </c>
      <c r="F35" s="545">
        <v>4.6400662251655618</v>
      </c>
      <c r="G35" s="545">
        <v>7.3201986754966883</v>
      </c>
      <c r="H35" s="545">
        <v>6.8105960264900656</v>
      </c>
      <c r="I35" s="545">
        <v>6.3764900662251653</v>
      </c>
      <c r="J35" s="545">
        <v>8.3205298013245041</v>
      </c>
      <c r="K35" s="545">
        <v>7.9996688741721851</v>
      </c>
      <c r="L35" s="545">
        <v>8.1317880794701978</v>
      </c>
      <c r="M35" s="545">
        <v>6.6784768211920529</v>
      </c>
      <c r="N35" s="545">
        <v>7.5844370860927146</v>
      </c>
      <c r="O35" s="545">
        <v>8.4149006622516556</v>
      </c>
      <c r="P35" s="545">
        <v>8.226158940397351</v>
      </c>
      <c r="Q35" s="712">
        <v>7.7920529801324498</v>
      </c>
      <c r="R35" s="559"/>
    </row>
    <row r="36" spans="1:61" s="27" customFormat="1" ht="17.25" customHeight="1" x14ac:dyDescent="0.2">
      <c r="A36" s="547" t="s">
        <v>9</v>
      </c>
      <c r="B36" s="548">
        <v>6.6204545454545434</v>
      </c>
      <c r="C36" s="380">
        <v>5.625</v>
      </c>
      <c r="D36" s="500">
        <v>5.5</v>
      </c>
      <c r="E36" s="500" t="s">
        <v>342</v>
      </c>
      <c r="F36" s="549" t="s">
        <v>171</v>
      </c>
      <c r="G36" s="500">
        <v>5.35</v>
      </c>
      <c r="H36" s="500">
        <v>7.5</v>
      </c>
      <c r="I36" s="500">
        <v>3.9</v>
      </c>
      <c r="J36" s="500">
        <v>5.8</v>
      </c>
      <c r="K36" s="549">
        <v>5.05</v>
      </c>
      <c r="L36" s="500">
        <v>3.7</v>
      </c>
      <c r="M36" s="500">
        <v>4.55</v>
      </c>
      <c r="N36" s="549">
        <v>4.55</v>
      </c>
      <c r="O36" s="500" t="s">
        <v>343</v>
      </c>
      <c r="P36" s="500">
        <v>7.05</v>
      </c>
      <c r="Q36" s="501">
        <v>5.0999999999999996</v>
      </c>
      <c r="R36" s="559"/>
    </row>
    <row r="37" spans="1:61" s="27" customFormat="1" ht="17.25" customHeight="1" x14ac:dyDescent="0.2">
      <c r="A37" s="539" t="s">
        <v>10</v>
      </c>
      <c r="B37" s="551">
        <v>7.0363636363636353</v>
      </c>
      <c r="C37" s="380">
        <v>6.75</v>
      </c>
      <c r="D37" s="541">
        <v>6.8</v>
      </c>
      <c r="E37" s="541">
        <v>7.35</v>
      </c>
      <c r="F37" s="861" t="s">
        <v>166</v>
      </c>
      <c r="G37" s="541">
        <v>6.1</v>
      </c>
      <c r="H37" s="541">
        <v>7.3</v>
      </c>
      <c r="I37" s="541">
        <v>6.55</v>
      </c>
      <c r="J37" s="541">
        <v>8.25</v>
      </c>
      <c r="K37" s="594">
        <v>6.85</v>
      </c>
      <c r="L37" s="541">
        <v>7.55</v>
      </c>
      <c r="M37" s="541">
        <v>5.55</v>
      </c>
      <c r="N37" s="861">
        <v>8.6999999999999993</v>
      </c>
      <c r="O37" s="541" t="s">
        <v>173</v>
      </c>
      <c r="P37" s="541">
        <v>6.7</v>
      </c>
      <c r="Q37" s="542">
        <v>8.0500000000000007</v>
      </c>
      <c r="R37" s="559"/>
    </row>
    <row r="38" spans="1:61" ht="17.25" customHeight="1" x14ac:dyDescent="0.2">
      <c r="A38" s="86"/>
      <c r="B38" s="121"/>
      <c r="C38" s="599"/>
      <c r="D38" s="234"/>
      <c r="E38" s="234"/>
      <c r="F38" s="234"/>
      <c r="G38" s="234"/>
      <c r="H38" s="234"/>
      <c r="I38" s="234"/>
      <c r="J38" s="234"/>
      <c r="K38" s="234"/>
      <c r="L38" s="89"/>
      <c r="M38" s="234"/>
      <c r="N38" s="89"/>
      <c r="O38" s="89"/>
      <c r="P38" s="234"/>
      <c r="Q38" s="89"/>
      <c r="R38" s="1060"/>
    </row>
    <row r="39" spans="1:61" s="27" customFormat="1" ht="17.25" customHeight="1" x14ac:dyDescent="0.2">
      <c r="A39" s="312" t="s">
        <v>11</v>
      </c>
      <c r="B39" s="244" t="s">
        <v>6</v>
      </c>
      <c r="C39" s="245" t="s">
        <v>6</v>
      </c>
      <c r="D39" s="246">
        <v>2010</v>
      </c>
      <c r="E39" s="246">
        <v>2018</v>
      </c>
      <c r="F39" s="246">
        <v>2017</v>
      </c>
      <c r="G39" s="246">
        <v>2014</v>
      </c>
      <c r="H39" s="246">
        <v>2014</v>
      </c>
      <c r="I39" s="74">
        <v>1999</v>
      </c>
      <c r="J39" s="246">
        <v>2012</v>
      </c>
      <c r="K39" s="246">
        <v>2016</v>
      </c>
      <c r="L39" s="74">
        <v>2008</v>
      </c>
      <c r="M39" s="246">
        <v>2014</v>
      </c>
      <c r="N39" s="246">
        <v>2016</v>
      </c>
      <c r="O39" s="246">
        <v>2018</v>
      </c>
      <c r="P39" s="246">
        <v>2015</v>
      </c>
      <c r="Q39" s="228">
        <v>2011</v>
      </c>
      <c r="R39" s="559"/>
    </row>
    <row r="40" spans="1:61" s="211" customFormat="1" ht="17.25" customHeight="1" x14ac:dyDescent="0.2">
      <c r="A40" s="561" t="s">
        <v>12</v>
      </c>
      <c r="B40" s="562"/>
      <c r="C40" s="563"/>
      <c r="D40" s="108"/>
      <c r="E40" s="108"/>
      <c r="F40" s="108"/>
      <c r="G40" s="108"/>
      <c r="H40" s="108"/>
      <c r="I40" s="108"/>
      <c r="J40" s="108"/>
      <c r="K40" s="108"/>
      <c r="L40" s="565"/>
      <c r="M40" s="108"/>
      <c r="N40" s="578"/>
      <c r="O40" s="578"/>
      <c r="P40" s="578"/>
      <c r="Q40" s="578"/>
      <c r="R40" s="559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</row>
    <row r="41" spans="1:61" s="211" customFormat="1" ht="17.25" customHeight="1" x14ac:dyDescent="0.2">
      <c r="A41" s="543" t="s">
        <v>33</v>
      </c>
      <c r="B41" s="567" t="s">
        <v>6</v>
      </c>
      <c r="C41" s="568" t="s">
        <v>6</v>
      </c>
      <c r="D41" s="570">
        <v>28</v>
      </c>
      <c r="E41" s="570">
        <v>9</v>
      </c>
      <c r="F41" s="570">
        <v>12</v>
      </c>
      <c r="G41" s="570">
        <v>12</v>
      </c>
      <c r="H41" s="570">
        <v>12</v>
      </c>
      <c r="I41" s="570">
        <v>11</v>
      </c>
      <c r="J41" s="570">
        <v>11</v>
      </c>
      <c r="K41" s="570">
        <v>12</v>
      </c>
      <c r="L41" s="570">
        <v>18</v>
      </c>
      <c r="M41" s="570">
        <v>12</v>
      </c>
      <c r="N41" s="571">
        <v>12</v>
      </c>
      <c r="O41" s="965">
        <v>6</v>
      </c>
      <c r="P41" s="570">
        <v>11</v>
      </c>
      <c r="Q41" s="580">
        <v>12</v>
      </c>
      <c r="R41" s="55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</row>
    <row r="42" spans="1:61" s="211" customFormat="1" ht="17.25" customHeight="1" x14ac:dyDescent="0.2">
      <c r="A42" s="547" t="s">
        <v>34</v>
      </c>
      <c r="B42" s="572" t="s">
        <v>6</v>
      </c>
      <c r="C42" s="573" t="s">
        <v>6</v>
      </c>
      <c r="D42" s="575">
        <v>26</v>
      </c>
      <c r="E42" s="575">
        <v>6</v>
      </c>
      <c r="F42" s="575">
        <v>9</v>
      </c>
      <c r="G42" s="575">
        <v>13</v>
      </c>
      <c r="H42" s="575">
        <v>13</v>
      </c>
      <c r="I42" s="575">
        <v>11</v>
      </c>
      <c r="J42" s="575">
        <v>10</v>
      </c>
      <c r="K42" s="575">
        <v>12</v>
      </c>
      <c r="L42" s="575">
        <v>16</v>
      </c>
      <c r="M42" s="575">
        <v>13</v>
      </c>
      <c r="N42" s="575">
        <v>12</v>
      </c>
      <c r="O42" s="575">
        <v>6</v>
      </c>
      <c r="P42" s="575">
        <v>12</v>
      </c>
      <c r="Q42" s="581">
        <v>11</v>
      </c>
      <c r="R42" s="559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</row>
    <row r="43" spans="1:61" s="211" customFormat="1" ht="17.25" customHeight="1" thickBot="1" x14ac:dyDescent="0.25">
      <c r="A43" s="349" t="s">
        <v>35</v>
      </c>
      <c r="B43" s="646" t="s">
        <v>6</v>
      </c>
      <c r="C43" s="647" t="s">
        <v>6</v>
      </c>
      <c r="D43" s="648">
        <v>22</v>
      </c>
      <c r="E43" s="648">
        <v>5</v>
      </c>
      <c r="F43" s="648">
        <v>5</v>
      </c>
      <c r="G43" s="648">
        <v>13</v>
      </c>
      <c r="H43" s="648">
        <v>13</v>
      </c>
      <c r="I43" s="648">
        <v>10</v>
      </c>
      <c r="J43" s="648">
        <v>11</v>
      </c>
      <c r="K43" s="648">
        <v>9</v>
      </c>
      <c r="L43" s="648">
        <v>13</v>
      </c>
      <c r="M43" s="648">
        <v>13</v>
      </c>
      <c r="N43" s="648">
        <v>9</v>
      </c>
      <c r="O43" s="648">
        <v>5</v>
      </c>
      <c r="P43" s="648">
        <v>12</v>
      </c>
      <c r="Q43" s="649">
        <v>12</v>
      </c>
      <c r="R43" s="559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</row>
    <row r="44" spans="1:61" s="9" customFormat="1" x14ac:dyDescent="0.2">
      <c r="A44" s="405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</row>
    <row r="45" spans="1:61" s="9" customFormat="1" x14ac:dyDescent="0.2">
      <c r="A45" s="9" t="s">
        <v>89</v>
      </c>
      <c r="B45" s="111"/>
      <c r="C45" s="111"/>
      <c r="D45" s="111"/>
      <c r="E45" s="167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</row>
    <row r="46" spans="1:61" x14ac:dyDescent="0.2">
      <c r="A46" s="1" t="s">
        <v>83</v>
      </c>
      <c r="B46" s="2"/>
      <c r="C46" s="2"/>
      <c r="L46" s="9"/>
      <c r="N46" s="12"/>
      <c r="O46" s="9"/>
      <c r="P46" s="9"/>
      <c r="Q46" s="106"/>
    </row>
    <row r="47" spans="1:61" x14ac:dyDescent="0.2">
      <c r="A47" s="1" t="s">
        <v>87</v>
      </c>
      <c r="B47" s="2"/>
      <c r="C47" s="2"/>
      <c r="L47" s="9"/>
      <c r="N47" s="12"/>
      <c r="O47" s="9"/>
      <c r="P47" s="9"/>
      <c r="Q47" s="106"/>
    </row>
    <row r="48" spans="1:61" x14ac:dyDescent="0.2">
      <c r="A48" s="1" t="s">
        <v>72</v>
      </c>
      <c r="B48" s="2"/>
      <c r="C48" s="2"/>
      <c r="L48" s="9"/>
      <c r="N48" s="12"/>
      <c r="O48" s="9"/>
      <c r="P48" s="9"/>
      <c r="Q48" s="106"/>
    </row>
    <row r="49" spans="1:17" x14ac:dyDescent="0.2">
      <c r="A49" s="1" t="s">
        <v>73</v>
      </c>
      <c r="B49" s="2"/>
      <c r="C49" s="2"/>
      <c r="L49" s="9"/>
      <c r="N49" s="12"/>
      <c r="O49" s="9"/>
      <c r="P49" s="9"/>
      <c r="Q49" s="106"/>
    </row>
    <row r="50" spans="1:17" x14ac:dyDescent="0.2">
      <c r="A50" s="6" t="s">
        <v>75</v>
      </c>
      <c r="B50" s="111"/>
      <c r="C50" s="111"/>
    </row>
    <row r="51" spans="1:17" x14ac:dyDescent="0.2">
      <c r="A51" s="169" t="s">
        <v>143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B74"/>
  <sheetViews>
    <sheetView tabSelected="1" zoomScale="91" zoomScaleNormal="91" workbookViewId="0">
      <selection activeCell="R21" sqref="R21"/>
    </sheetView>
  </sheetViews>
  <sheetFormatPr defaultColWidth="9.140625" defaultRowHeight="12.75" x14ac:dyDescent="0.2"/>
  <cols>
    <col min="1" max="1" width="44.42578125" style="6" customWidth="1"/>
    <col min="2" max="3" width="9" style="110" customWidth="1"/>
    <col min="4" max="11" width="8.140625" style="110" customWidth="1"/>
    <col min="12" max="12" width="7.140625" style="110" bestFit="1" customWidth="1"/>
    <col min="13" max="20" width="8.140625" style="110" customWidth="1"/>
    <col min="21" max="21" width="3.140625" style="6" customWidth="1"/>
    <col min="22" max="16384" width="9.140625" style="6"/>
  </cols>
  <sheetData>
    <row r="1" spans="1:21" ht="15" x14ac:dyDescent="0.25">
      <c r="A1" s="48" t="s">
        <v>194</v>
      </c>
      <c r="B1" s="112"/>
      <c r="C1" s="112"/>
      <c r="D1" s="3"/>
      <c r="E1" s="3"/>
      <c r="F1" s="3"/>
      <c r="G1" s="3"/>
      <c r="H1" s="4"/>
      <c r="I1" s="4"/>
      <c r="J1" s="4"/>
      <c r="K1" s="4"/>
      <c r="L1" s="4"/>
    </row>
    <row r="2" spans="1:21" ht="15.75" thickBot="1" x14ac:dyDescent="0.3">
      <c r="A2" s="48"/>
      <c r="B2" s="112"/>
      <c r="C2" s="112"/>
      <c r="D2" s="3"/>
      <c r="E2" s="3"/>
      <c r="F2" s="3"/>
      <c r="G2" s="3"/>
      <c r="H2" s="4"/>
      <c r="I2" s="4"/>
      <c r="J2" s="4"/>
      <c r="K2" s="4"/>
      <c r="L2" s="4"/>
    </row>
    <row r="3" spans="1:21" ht="81.599999999999994" customHeight="1" x14ac:dyDescent="0.2">
      <c r="A3" s="240"/>
      <c r="B3" s="59" t="s">
        <v>183</v>
      </c>
      <c r="C3" s="59" t="s">
        <v>181</v>
      </c>
      <c r="D3" s="874" t="s">
        <v>235</v>
      </c>
      <c r="E3" s="875" t="s">
        <v>236</v>
      </c>
      <c r="F3" s="875" t="s">
        <v>237</v>
      </c>
      <c r="G3" s="21" t="s">
        <v>238</v>
      </c>
      <c r="H3" s="21" t="s">
        <v>239</v>
      </c>
      <c r="I3" s="22" t="s">
        <v>240</v>
      </c>
      <c r="J3" s="875" t="s">
        <v>267</v>
      </c>
      <c r="K3" s="650" t="s">
        <v>241</v>
      </c>
      <c r="L3" s="1173" t="s">
        <v>378</v>
      </c>
      <c r="M3" s="651" t="s">
        <v>242</v>
      </c>
      <c r="N3" s="875" t="s">
        <v>243</v>
      </c>
      <c r="O3" s="651" t="s">
        <v>244</v>
      </c>
      <c r="P3" s="719" t="s">
        <v>246</v>
      </c>
      <c r="Q3" s="21" t="s">
        <v>248</v>
      </c>
      <c r="R3" s="22" t="s">
        <v>247</v>
      </c>
      <c r="S3" s="876" t="s">
        <v>245</v>
      </c>
      <c r="T3" s="22" t="s">
        <v>249</v>
      </c>
      <c r="U3" s="1060"/>
    </row>
    <row r="4" spans="1:21" ht="30.6" customHeight="1" x14ac:dyDescent="0.2">
      <c r="A4" s="50" t="s">
        <v>31</v>
      </c>
      <c r="B4" s="61" t="s">
        <v>6</v>
      </c>
      <c r="C4" s="61" t="s">
        <v>6</v>
      </c>
      <c r="D4" s="790" t="s">
        <v>2</v>
      </c>
      <c r="E4" s="790" t="s">
        <v>2</v>
      </c>
      <c r="F4" s="790" t="s">
        <v>2</v>
      </c>
      <c r="G4" s="24" t="s">
        <v>3</v>
      </c>
      <c r="H4" s="24" t="s">
        <v>5</v>
      </c>
      <c r="I4" s="24" t="s">
        <v>4</v>
      </c>
      <c r="J4" s="790" t="s">
        <v>3</v>
      </c>
      <c r="K4" s="24" t="s">
        <v>3</v>
      </c>
      <c r="L4" s="1190" t="s">
        <v>3</v>
      </c>
      <c r="M4" s="24" t="s">
        <v>2</v>
      </c>
      <c r="N4" s="790" t="s">
        <v>4</v>
      </c>
      <c r="O4" s="24" t="s">
        <v>4</v>
      </c>
      <c r="P4" s="652" t="s">
        <v>3</v>
      </c>
      <c r="Q4" s="24" t="s">
        <v>3</v>
      </c>
      <c r="R4" s="790" t="s">
        <v>5</v>
      </c>
      <c r="S4" s="790" t="s">
        <v>2</v>
      </c>
      <c r="T4" s="652" t="s">
        <v>5</v>
      </c>
      <c r="U4" s="1060"/>
    </row>
    <row r="5" spans="1:21" s="27" customFormat="1" ht="13.5" customHeight="1" x14ac:dyDescent="0.2">
      <c r="A5" s="588" t="s">
        <v>13</v>
      </c>
      <c r="B5" s="65" t="s">
        <v>6</v>
      </c>
      <c r="C5" s="65" t="s">
        <v>6</v>
      </c>
      <c r="D5" s="25">
        <v>141.31</v>
      </c>
      <c r="E5" s="25">
        <v>143.613</v>
      </c>
      <c r="F5" s="25">
        <v>143.73099999999999</v>
      </c>
      <c r="G5" s="25">
        <v>143.792</v>
      </c>
      <c r="H5" s="25">
        <v>146.16300000000001</v>
      </c>
      <c r="I5" s="25">
        <v>147.774</v>
      </c>
      <c r="J5" s="25">
        <v>148.387</v>
      </c>
      <c r="K5" s="25">
        <v>150.85500000000002</v>
      </c>
      <c r="L5" s="25">
        <v>150.29299768518518</v>
      </c>
      <c r="M5" s="25">
        <v>151.32499999999999</v>
      </c>
      <c r="N5" s="28">
        <v>151.40199999999999</v>
      </c>
      <c r="O5" s="28">
        <v>151.65300000000002</v>
      </c>
      <c r="P5" s="28">
        <v>151.828</v>
      </c>
      <c r="Q5" s="28">
        <v>152.04000000000002</v>
      </c>
      <c r="R5" s="28">
        <v>152.06200000000001</v>
      </c>
      <c r="S5" s="25">
        <v>152.09699999999998</v>
      </c>
      <c r="T5" s="28">
        <v>153.13299999999998</v>
      </c>
      <c r="U5" s="559"/>
    </row>
    <row r="6" spans="1:21" s="27" customFormat="1" ht="17.25" customHeight="1" x14ac:dyDescent="0.2">
      <c r="A6" s="1022" t="s">
        <v>16</v>
      </c>
      <c r="B6" s="1023"/>
      <c r="C6" s="1023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1025"/>
      <c r="P6" s="1025"/>
      <c r="Q6" s="1025"/>
      <c r="R6" s="1025"/>
      <c r="S6" s="1025"/>
      <c r="T6" s="1025"/>
      <c r="U6" s="559"/>
    </row>
    <row r="7" spans="1:21" s="27" customFormat="1" ht="17.25" customHeight="1" x14ac:dyDescent="0.2">
      <c r="A7" s="802" t="s">
        <v>356</v>
      </c>
      <c r="B7" s="494">
        <v>100</v>
      </c>
      <c r="C7" s="495">
        <v>99.424693254237312</v>
      </c>
      <c r="D7" s="496">
        <v>101.4639967115032</v>
      </c>
      <c r="E7" s="496">
        <v>98.440730095278852</v>
      </c>
      <c r="F7" s="496">
        <v>99.691569908196698</v>
      </c>
      <c r="G7" s="496">
        <v>97.345919070664493</v>
      </c>
      <c r="H7" s="496">
        <v>95.726420812321805</v>
      </c>
      <c r="I7" s="496">
        <v>99.623481486551597</v>
      </c>
      <c r="J7" s="496">
        <v>102.69234575517719</v>
      </c>
      <c r="K7" s="496">
        <v>103.22558821150864</v>
      </c>
      <c r="L7" s="496">
        <v>102.47109815154336</v>
      </c>
      <c r="M7" s="496">
        <v>100.36373188624641</v>
      </c>
      <c r="N7" s="699">
        <v>99.669167412798814</v>
      </c>
      <c r="O7" s="699">
        <v>95.739252666466385</v>
      </c>
      <c r="P7" s="699">
        <v>96.634323724625872</v>
      </c>
      <c r="Q7" s="699">
        <v>98.378834723265825</v>
      </c>
      <c r="R7" s="699">
        <v>97.008305088850975</v>
      </c>
      <c r="S7" s="496">
        <v>97.163437669961439</v>
      </c>
      <c r="T7" s="699">
        <v>96.733475509639092</v>
      </c>
      <c r="U7" s="559"/>
    </row>
    <row r="8" spans="1:21" s="27" customFormat="1" ht="17.25" customHeight="1" x14ac:dyDescent="0.2">
      <c r="A8" s="885" t="s">
        <v>370</v>
      </c>
      <c r="B8" s="498">
        <f>65+12.1948785603773</f>
        <v>77.194878560377305</v>
      </c>
      <c r="C8" s="499">
        <f>65+12.0916508210337</f>
        <v>77.091650821033696</v>
      </c>
      <c r="D8" s="500">
        <f>65+12.5301626246068</f>
        <v>77.530162624606803</v>
      </c>
      <c r="E8" s="500">
        <f>65+12.153034078543</f>
        <v>77.153034078543001</v>
      </c>
      <c r="F8" s="500">
        <f>65+12.2754228009772</f>
        <v>77.275422800977196</v>
      </c>
      <c r="G8" s="500">
        <f>65+12.4093507126538</f>
        <v>77.409350712653804</v>
      </c>
      <c r="H8" s="500">
        <f>65+12.8511400837702</f>
        <v>77.851140083770204</v>
      </c>
      <c r="I8" s="500">
        <f>65+12.9347204419639</f>
        <v>77.934720441963904</v>
      </c>
      <c r="J8" s="500">
        <f>65+13.5018485159711</f>
        <v>78.501848515971105</v>
      </c>
      <c r="K8" s="500">
        <f>65+13.5482396015426</f>
        <v>78.548239601542605</v>
      </c>
      <c r="L8" s="500">
        <f>65+12.1235151826378</f>
        <v>77.123515182637803</v>
      </c>
      <c r="M8" s="500">
        <f>65+12.8240146396466</f>
        <v>77.824014639646606</v>
      </c>
      <c r="N8" s="501">
        <f>65+11.4309402328637</f>
        <v>76.430940232863705</v>
      </c>
      <c r="O8" s="501">
        <f>65+11.9139523326254</f>
        <v>76.913952332625399</v>
      </c>
      <c r="P8" s="501">
        <f>65+11.7126840459871</f>
        <v>76.712684045987103</v>
      </c>
      <c r="Q8" s="501">
        <f>65+12.4690430854139</f>
        <v>77.469043085413901</v>
      </c>
      <c r="R8" s="501">
        <f>65+10.2236555966175</f>
        <v>75.223655596617505</v>
      </c>
      <c r="S8" s="500">
        <f>65+10.6756199613946</f>
        <v>75.675619961394602</v>
      </c>
      <c r="T8" s="501">
        <f>65+13.4837744183381</f>
        <v>78.483774418338101</v>
      </c>
      <c r="U8" s="559"/>
    </row>
    <row r="9" spans="1:21" s="589" customFormat="1" ht="17.25" customHeight="1" x14ac:dyDescent="0.2">
      <c r="A9" s="805" t="s">
        <v>355</v>
      </c>
      <c r="B9" s="503">
        <v>100</v>
      </c>
      <c r="C9" s="356">
        <v>99.226464251449897</v>
      </c>
      <c r="D9" s="232">
        <v>101.88387510686407</v>
      </c>
      <c r="E9" s="232">
        <v>98.571955812490287</v>
      </c>
      <c r="F9" s="232">
        <v>99.501810067302358</v>
      </c>
      <c r="G9" s="232">
        <v>97.609460104405585</v>
      </c>
      <c r="H9" s="232">
        <v>96.554369941287533</v>
      </c>
      <c r="I9" s="232">
        <v>100.78625972611903</v>
      </c>
      <c r="J9" s="232">
        <v>104.31422771637983</v>
      </c>
      <c r="K9" s="232">
        <v>105.06273930099904</v>
      </c>
      <c r="L9" s="232">
        <v>102</v>
      </c>
      <c r="M9" s="232">
        <v>101.07722211675149</v>
      </c>
      <c r="N9" s="357">
        <v>98.837318498552662</v>
      </c>
      <c r="O9" s="357">
        <v>95.471754408477551</v>
      </c>
      <c r="P9" s="357">
        <v>96.067678879878258</v>
      </c>
      <c r="Q9" s="357">
        <v>98.6482142274144</v>
      </c>
      <c r="R9" s="357">
        <v>94.774550310018654</v>
      </c>
      <c r="S9" s="232">
        <v>95.097458153841274</v>
      </c>
      <c r="T9" s="357">
        <v>98.268582198730783</v>
      </c>
      <c r="U9" s="1163"/>
    </row>
    <row r="10" spans="1:21" s="27" customFormat="1" ht="17.25" customHeight="1" x14ac:dyDescent="0.2">
      <c r="A10" s="490" t="s">
        <v>17</v>
      </c>
      <c r="B10" s="241"/>
      <c r="C10" s="491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559"/>
    </row>
    <row r="11" spans="1:21" s="27" customFormat="1" ht="17.25" customHeight="1" x14ac:dyDescent="0.2">
      <c r="A11" s="511" t="s">
        <v>353</v>
      </c>
      <c r="B11" s="512">
        <v>100</v>
      </c>
      <c r="C11" s="513">
        <v>103.5928958488409</v>
      </c>
      <c r="D11" s="701">
        <v>106.98971244111166</v>
      </c>
      <c r="E11" s="701">
        <v>101.63456136217533</v>
      </c>
      <c r="F11" s="701">
        <v>107.30349942998028</v>
      </c>
      <c r="G11" s="701">
        <v>100.57112950679353</v>
      </c>
      <c r="H11" s="701">
        <v>102.04853674820428</v>
      </c>
      <c r="I11" s="701">
        <v>98.385974902196892</v>
      </c>
      <c r="J11" s="701">
        <v>101.56181560599576</v>
      </c>
      <c r="K11" s="701">
        <v>104.6322958819194</v>
      </c>
      <c r="L11" s="701">
        <v>101</v>
      </c>
      <c r="M11" s="701">
        <v>101.37880379432519</v>
      </c>
      <c r="N11" s="702">
        <v>103.82244068149642</v>
      </c>
      <c r="O11" s="702">
        <v>105.09012937535836</v>
      </c>
      <c r="P11" s="702">
        <v>102.32922060013533</v>
      </c>
      <c r="Q11" s="702">
        <v>100.40318394427636</v>
      </c>
      <c r="R11" s="702">
        <v>104.16402363597197</v>
      </c>
      <c r="S11" s="701">
        <v>100.65790221661214</v>
      </c>
      <c r="T11" s="702">
        <v>97.327813062275609</v>
      </c>
      <c r="U11" s="559"/>
    </row>
    <row r="12" spans="1:21" s="27" customFormat="1" ht="27" customHeight="1" x14ac:dyDescent="0.2">
      <c r="A12" s="281" t="s">
        <v>168</v>
      </c>
      <c r="B12" s="229">
        <v>100</v>
      </c>
      <c r="C12" s="356">
        <v>103.67667581215741</v>
      </c>
      <c r="D12" s="232">
        <v>104.34358185315374</v>
      </c>
      <c r="E12" s="232">
        <v>103.15258366318616</v>
      </c>
      <c r="F12" s="232">
        <v>107.92764015316969</v>
      </c>
      <c r="G12" s="232">
        <v>101.1269518996238</v>
      </c>
      <c r="H12" s="232">
        <v>104.71649459118584</v>
      </c>
      <c r="I12" s="232">
        <v>98.094744249838357</v>
      </c>
      <c r="J12" s="232">
        <v>102.89252004957595</v>
      </c>
      <c r="K12" s="232">
        <v>104.76410493972196</v>
      </c>
      <c r="L12" s="232">
        <v>101</v>
      </c>
      <c r="M12" s="232">
        <v>102.38935175847833</v>
      </c>
      <c r="N12" s="715">
        <v>104.65149927256053</v>
      </c>
      <c r="O12" s="715">
        <v>108.02155354683401</v>
      </c>
      <c r="P12" s="357">
        <v>104.63375359667828</v>
      </c>
      <c r="Q12" s="357">
        <v>101.41615300276821</v>
      </c>
      <c r="R12" s="715">
        <v>107.00906822100741</v>
      </c>
      <c r="S12" s="232">
        <v>100.57022163279912</v>
      </c>
      <c r="T12" s="357">
        <v>98.839668760795576</v>
      </c>
      <c r="U12" s="559"/>
    </row>
    <row r="13" spans="1:21" s="27" customFormat="1" ht="18" customHeight="1" x14ac:dyDescent="0.2">
      <c r="A13" s="511" t="s">
        <v>169</v>
      </c>
      <c r="B13" s="512">
        <v>100</v>
      </c>
      <c r="C13" s="513">
        <v>102.63743780218813</v>
      </c>
      <c r="D13" s="701">
        <v>104.57502369437744</v>
      </c>
      <c r="E13" s="701">
        <v>99.73513178523342</v>
      </c>
      <c r="F13" s="701">
        <v>104.96224878138156</v>
      </c>
      <c r="G13" s="701">
        <v>102.01771880968188</v>
      </c>
      <c r="H13" s="701">
        <v>97.987238815763035</v>
      </c>
      <c r="I13" s="704">
        <v>96.242258749842222</v>
      </c>
      <c r="J13" s="701">
        <v>99.923958847611658</v>
      </c>
      <c r="K13" s="232">
        <v>97.266121117261818</v>
      </c>
      <c r="L13" s="701">
        <v>101</v>
      </c>
      <c r="M13" s="701">
        <v>101.9180264216855</v>
      </c>
      <c r="N13" s="702">
        <v>100.66220141430682</v>
      </c>
      <c r="O13" s="702">
        <v>99.829453003452826</v>
      </c>
      <c r="P13" s="702">
        <v>103.89586856882957</v>
      </c>
      <c r="Q13" s="702">
        <v>100.65925111662342</v>
      </c>
      <c r="R13" s="702">
        <v>101.40758229355572</v>
      </c>
      <c r="S13" s="701">
        <v>101.9967583282628</v>
      </c>
      <c r="T13" s="702">
        <v>94.609400020247335</v>
      </c>
      <c r="U13" s="559"/>
    </row>
    <row r="14" spans="1:21" s="27" customFormat="1" ht="18" customHeight="1" x14ac:dyDescent="0.2">
      <c r="A14" s="519" t="s">
        <v>352</v>
      </c>
      <c r="B14" s="515">
        <v>100</v>
      </c>
      <c r="C14" s="520">
        <v>103.12034902621073</v>
      </c>
      <c r="D14" s="517">
        <v>105.73407429280985</v>
      </c>
      <c r="E14" s="517">
        <v>100.84859050275109</v>
      </c>
      <c r="F14" s="517">
        <v>106.13287410568091</v>
      </c>
      <c r="G14" s="517">
        <v>100.99659694881952</v>
      </c>
      <c r="H14" s="517">
        <v>100.10617686747152</v>
      </c>
      <c r="I14" s="517">
        <v>97.620361990641655</v>
      </c>
      <c r="J14" s="517">
        <v>100.6684391923317</v>
      </c>
      <c r="K14" s="517">
        <v>102.46577389231423</v>
      </c>
      <c r="L14" s="517">
        <v>101</v>
      </c>
      <c r="M14" s="517">
        <v>101.61973305335852</v>
      </c>
      <c r="N14" s="517">
        <v>102.36386871202428</v>
      </c>
      <c r="O14" s="517">
        <v>102.83555378739885</v>
      </c>
      <c r="P14" s="517">
        <v>102.78999941445716</v>
      </c>
      <c r="Q14" s="517">
        <v>100.49463650582889</v>
      </c>
      <c r="R14" s="517">
        <v>102.78580296476385</v>
      </c>
      <c r="S14" s="517">
        <v>101.26647317645335</v>
      </c>
      <c r="T14" s="628">
        <v>96.033330661309762</v>
      </c>
      <c r="U14" s="559"/>
    </row>
    <row r="15" spans="1:21" s="27" customFormat="1" ht="17.25" customHeight="1" x14ac:dyDescent="0.2">
      <c r="A15" s="533" t="s">
        <v>18</v>
      </c>
      <c r="B15" s="534"/>
      <c r="C15" s="535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559"/>
    </row>
    <row r="16" spans="1:21" s="27" customFormat="1" ht="17.25" customHeight="1" x14ac:dyDescent="0.2">
      <c r="A16" s="348" t="s">
        <v>129</v>
      </c>
      <c r="B16" s="515">
        <v>64.704692993321601</v>
      </c>
      <c r="C16" s="516">
        <v>61.4452573763174</v>
      </c>
      <c r="D16" s="704">
        <v>60.693365864912238</v>
      </c>
      <c r="E16" s="704">
        <v>61.465991589780764</v>
      </c>
      <c r="F16" s="704">
        <v>62.879853727597371</v>
      </c>
      <c r="G16" s="704">
        <v>64.740944187102698</v>
      </c>
      <c r="H16" s="704">
        <v>64.889102843477886</v>
      </c>
      <c r="I16" s="704">
        <v>64.742686933022966</v>
      </c>
      <c r="J16" s="704">
        <v>62.376397856835673</v>
      </c>
      <c r="K16" s="704">
        <v>63.16405529821381</v>
      </c>
      <c r="L16" s="704">
        <v>61</v>
      </c>
      <c r="M16" s="704">
        <v>59.536023950954991</v>
      </c>
      <c r="N16" s="703">
        <v>56.910342678118454</v>
      </c>
      <c r="O16" s="703">
        <v>59.030268042929926</v>
      </c>
      <c r="P16" s="703">
        <v>60.829833075991587</v>
      </c>
      <c r="Q16" s="703">
        <v>65.25876056393534</v>
      </c>
      <c r="R16" s="703">
        <v>59.636852895526594</v>
      </c>
      <c r="S16" s="704">
        <v>62.651051748341644</v>
      </c>
      <c r="T16" s="703">
        <v>58.351783392543545</v>
      </c>
      <c r="U16" s="559"/>
    </row>
    <row r="17" spans="1:28" s="211" customFormat="1" ht="17.25" customHeight="1" x14ac:dyDescent="0.2">
      <c r="A17" s="348" t="s">
        <v>27</v>
      </c>
      <c r="B17" s="512">
        <v>60.745223487986109</v>
      </c>
      <c r="C17" s="513">
        <v>57.540947923518893</v>
      </c>
      <c r="D17" s="708">
        <v>55.850856962528084</v>
      </c>
      <c r="E17" s="708">
        <v>59.186765534878461</v>
      </c>
      <c r="F17" s="708">
        <v>57.683600228805609</v>
      </c>
      <c r="G17" s="708">
        <v>59.833896020485788</v>
      </c>
      <c r="H17" s="708">
        <v>59.565067655106077</v>
      </c>
      <c r="I17" s="708">
        <v>59.757138381128961</v>
      </c>
      <c r="J17" s="708">
        <v>61.452338106106595</v>
      </c>
      <c r="K17" s="708">
        <v>53.605818629346487</v>
      </c>
      <c r="L17" s="708">
        <v>61.822671439439929</v>
      </c>
      <c r="M17" s="701">
        <v>55.862351073703863</v>
      </c>
      <c r="N17" s="703">
        <v>55.728338106106619</v>
      </c>
      <c r="O17" s="709">
        <v>52.183521102762469</v>
      </c>
      <c r="P17" s="709">
        <v>56.78522434225151</v>
      </c>
      <c r="Q17" s="709">
        <v>56.799849767245618</v>
      </c>
      <c r="R17" s="709">
        <v>57.47164448293595</v>
      </c>
      <c r="S17" s="708">
        <v>59.121165817678431</v>
      </c>
      <c r="T17" s="702">
        <v>51.594556804454939</v>
      </c>
      <c r="U17" s="559"/>
      <c r="V17" s="27"/>
      <c r="W17" s="27"/>
      <c r="X17" s="27"/>
      <c r="Y17" s="27"/>
      <c r="Z17" s="27"/>
      <c r="AA17" s="27"/>
      <c r="AB17" s="27"/>
    </row>
    <row r="18" spans="1:28" s="27" customFormat="1" ht="17.25" customHeight="1" x14ac:dyDescent="0.2">
      <c r="A18" s="519" t="s">
        <v>130</v>
      </c>
      <c r="B18" s="1015">
        <v>6.2097437959579302</v>
      </c>
      <c r="C18" s="504">
        <v>5.7491574306073776</v>
      </c>
      <c r="D18" s="1019">
        <v>5.5663024101515877</v>
      </c>
      <c r="E18" s="1019">
        <v>5.8796964207450682</v>
      </c>
      <c r="F18" s="1019">
        <v>5.8388515226854594</v>
      </c>
      <c r="G18" s="1019">
        <v>6.2440369577070705</v>
      </c>
      <c r="H18" s="1019">
        <v>6.1512639732921492</v>
      </c>
      <c r="I18" s="1019">
        <v>6.1704771454994152</v>
      </c>
      <c r="J18" s="1019">
        <v>6.089694678937402</v>
      </c>
      <c r="K18" s="1019">
        <v>5.7787323858832416</v>
      </c>
      <c r="L18" s="1019">
        <v>6.1</v>
      </c>
      <c r="M18" s="1019">
        <v>5.5069257147591735</v>
      </c>
      <c r="N18" s="718">
        <v>5.2922220626926517</v>
      </c>
      <c r="O18" s="1017">
        <v>5.2535877169252885</v>
      </c>
      <c r="P18" s="1017">
        <v>5.7262719147919743</v>
      </c>
      <c r="Q18" s="1017">
        <v>6.0177632196355493</v>
      </c>
      <c r="R18" s="1017">
        <v>5.6136094594444756</v>
      </c>
      <c r="S18" s="1019">
        <v>5.9540110846955976</v>
      </c>
      <c r="T18" s="1017">
        <v>5.115363911266444</v>
      </c>
      <c r="U18" s="559"/>
    </row>
    <row r="19" spans="1:28" s="211" customFormat="1" ht="17.25" customHeight="1" x14ac:dyDescent="0.2">
      <c r="A19" s="505" t="s">
        <v>15</v>
      </c>
      <c r="B19" s="506"/>
      <c r="C19" s="507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9"/>
      <c r="P19" s="509"/>
      <c r="Q19" s="509"/>
      <c r="R19" s="508"/>
      <c r="S19" s="508"/>
      <c r="T19" s="509"/>
      <c r="U19" s="559"/>
      <c r="V19" s="27"/>
      <c r="W19" s="27"/>
      <c r="X19" s="27"/>
      <c r="Y19" s="27"/>
      <c r="Z19" s="27"/>
      <c r="AA19" s="27"/>
      <c r="AB19" s="27"/>
    </row>
    <row r="20" spans="1:28" s="27" customFormat="1" ht="17.25" customHeight="1" x14ac:dyDescent="0.2">
      <c r="A20" s="493" t="s">
        <v>359</v>
      </c>
      <c r="B20" s="494">
        <v>100</v>
      </c>
      <c r="C20" s="495">
        <v>93.571822710925701</v>
      </c>
      <c r="D20" s="496">
        <v>101.3812717143651</v>
      </c>
      <c r="E20" s="496">
        <v>100.54011247927251</v>
      </c>
      <c r="F20" s="496">
        <v>102.96158497727451</v>
      </c>
      <c r="G20" s="496">
        <v>99.810741542646696</v>
      </c>
      <c r="H20" s="496">
        <v>94.367531907834902</v>
      </c>
      <c r="I20" s="496">
        <v>110.2107188307987</v>
      </c>
      <c r="J20" s="496">
        <v>95.860841122877176</v>
      </c>
      <c r="K20" s="496">
        <v>99.279466978061095</v>
      </c>
      <c r="L20" s="496">
        <v>94</v>
      </c>
      <c r="M20" s="496">
        <v>86.02726726192391</v>
      </c>
      <c r="N20" s="699">
        <v>85.993390144372043</v>
      </c>
      <c r="O20" s="699">
        <v>82.707449979371717</v>
      </c>
      <c r="P20" s="699">
        <v>87.60184370550337</v>
      </c>
      <c r="Q20" s="699">
        <v>90.47154934221345</v>
      </c>
      <c r="R20" s="699">
        <v>89.040493459244857</v>
      </c>
      <c r="S20" s="496">
        <v>76.948877121792478</v>
      </c>
      <c r="T20" s="699">
        <v>81.413042834815101</v>
      </c>
      <c r="U20" s="559"/>
    </row>
    <row r="21" spans="1:28" s="211" customFormat="1" ht="17.25" customHeight="1" x14ac:dyDescent="0.2">
      <c r="A21" s="511" t="s">
        <v>360</v>
      </c>
      <c r="B21" s="512">
        <v>100</v>
      </c>
      <c r="C21" s="513">
        <v>101.63278994427941</v>
      </c>
      <c r="D21" s="701">
        <v>107.12858951741879</v>
      </c>
      <c r="E21" s="701">
        <v>106.93344603539479</v>
      </c>
      <c r="F21" s="701">
        <v>107.447058409495</v>
      </c>
      <c r="G21" s="701">
        <v>104.36291914230149</v>
      </c>
      <c r="H21" s="701">
        <v>106.04853725580071</v>
      </c>
      <c r="I21" s="701">
        <v>107.6770926731366</v>
      </c>
      <c r="J21" s="701">
        <v>105.91712958930987</v>
      </c>
      <c r="K21" s="701">
        <v>104.97357760242336</v>
      </c>
      <c r="L21" s="701">
        <v>102</v>
      </c>
      <c r="M21" s="701">
        <v>95.106696540137619</v>
      </c>
      <c r="N21" s="702">
        <v>99.161358189141509</v>
      </c>
      <c r="O21" s="702">
        <v>94.805953918754724</v>
      </c>
      <c r="P21" s="702">
        <v>95.286761545490464</v>
      </c>
      <c r="Q21" s="702">
        <v>96.43110278327363</v>
      </c>
      <c r="R21" s="702">
        <v>100.07782793932802</v>
      </c>
      <c r="S21" s="701">
        <v>91.548159218950786</v>
      </c>
      <c r="T21" s="702">
        <v>95.418855148581514</v>
      </c>
      <c r="U21" s="559"/>
      <c r="V21" s="27"/>
      <c r="W21" s="27"/>
      <c r="X21" s="27"/>
      <c r="Y21" s="27"/>
      <c r="Z21" s="27"/>
      <c r="AA21" s="27"/>
      <c r="AB21" s="27"/>
    </row>
    <row r="22" spans="1:28" s="211" customFormat="1" ht="17.25" customHeight="1" x14ac:dyDescent="0.2">
      <c r="A22" s="511" t="s">
        <v>361</v>
      </c>
      <c r="B22" s="512">
        <v>100</v>
      </c>
      <c r="C22" s="513">
        <v>100.07386639649238</v>
      </c>
      <c r="D22" s="701">
        <v>99.114941953491268</v>
      </c>
      <c r="E22" s="701">
        <v>97.493635954589962</v>
      </c>
      <c r="F22" s="701">
        <v>98.141136809503692</v>
      </c>
      <c r="G22" s="701">
        <v>94.562696864166327</v>
      </c>
      <c r="H22" s="701">
        <v>97.477446873014017</v>
      </c>
      <c r="I22" s="701">
        <v>93.260181287179947</v>
      </c>
      <c r="J22" s="701">
        <v>103.23956902391001</v>
      </c>
      <c r="K22" s="701">
        <v>101.98767620915964</v>
      </c>
      <c r="L22" s="701">
        <v>102.91782971315543</v>
      </c>
      <c r="M22" s="701">
        <v>103.90256813461066</v>
      </c>
      <c r="N22" s="702">
        <v>104.94940115530629</v>
      </c>
      <c r="O22" s="702">
        <v>97.183572011766188</v>
      </c>
      <c r="P22" s="702">
        <v>99.516600772222816</v>
      </c>
      <c r="Q22" s="702">
        <v>98.560261432755851</v>
      </c>
      <c r="R22" s="702">
        <v>100.32241567333783</v>
      </c>
      <c r="S22" s="701">
        <v>101.71704913026626</v>
      </c>
      <c r="T22" s="702">
        <v>100.00681161766241</v>
      </c>
      <c r="U22" s="559"/>
      <c r="V22" s="27"/>
      <c r="W22" s="27"/>
      <c r="X22" s="27"/>
      <c r="Y22" s="27"/>
      <c r="Z22" s="27"/>
      <c r="AA22" s="27"/>
      <c r="AB22" s="27"/>
    </row>
    <row r="23" spans="1:28" s="211" customFormat="1" ht="17.25" customHeight="1" x14ac:dyDescent="0.2">
      <c r="A23" s="511" t="s">
        <v>362</v>
      </c>
      <c r="B23" s="512">
        <v>100</v>
      </c>
      <c r="C23" s="513">
        <v>98.955184770637061</v>
      </c>
      <c r="D23" s="701">
        <v>102.35262117404069</v>
      </c>
      <c r="E23" s="701">
        <v>94.056502382808887</v>
      </c>
      <c r="F23" s="701">
        <v>97.564685833689992</v>
      </c>
      <c r="G23" s="701">
        <v>96.015515982568203</v>
      </c>
      <c r="H23" s="701">
        <v>88.27131844114956</v>
      </c>
      <c r="I23" s="701">
        <v>100.28479306743994</v>
      </c>
      <c r="J23" s="701">
        <v>99.539431225554523</v>
      </c>
      <c r="K23" s="701">
        <v>102.66153612623214</v>
      </c>
      <c r="L23" s="701">
        <v>100</v>
      </c>
      <c r="M23" s="701">
        <v>101.69268031892555</v>
      </c>
      <c r="N23" s="702">
        <v>97.443625126823832</v>
      </c>
      <c r="O23" s="702">
        <v>98.458745244479985</v>
      </c>
      <c r="P23" s="702">
        <v>93.876878135930909</v>
      </c>
      <c r="Q23" s="702">
        <v>101.64521226238456</v>
      </c>
      <c r="R23" s="702">
        <v>94.490964128900387</v>
      </c>
      <c r="S23" s="701">
        <v>99.109434143720179</v>
      </c>
      <c r="T23" s="702">
        <v>95.036110604119941</v>
      </c>
      <c r="U23" s="559"/>
      <c r="V23" s="27"/>
      <c r="W23" s="27"/>
      <c r="X23" s="27"/>
      <c r="Y23" s="27"/>
      <c r="Z23" s="27"/>
      <c r="AA23" s="27"/>
      <c r="AB23" s="27"/>
    </row>
    <row r="24" spans="1:28" s="211" customFormat="1" ht="17.25" customHeight="1" x14ac:dyDescent="0.2">
      <c r="A24" s="511" t="s">
        <v>363</v>
      </c>
      <c r="B24" s="515">
        <v>100</v>
      </c>
      <c r="C24" s="516">
        <v>95.393911612053486</v>
      </c>
      <c r="D24" s="704">
        <v>97.347629588672291</v>
      </c>
      <c r="E24" s="704">
        <v>95.414202157734621</v>
      </c>
      <c r="F24" s="704">
        <v>95.596415470673321</v>
      </c>
      <c r="G24" s="704">
        <v>96.045534823549318</v>
      </c>
      <c r="H24" s="704">
        <v>88.570690741055628</v>
      </c>
      <c r="I24" s="704">
        <v>102.57628350977161</v>
      </c>
      <c r="J24" s="704">
        <v>101.69537236234659</v>
      </c>
      <c r="K24" s="704">
        <v>105.24865331650312</v>
      </c>
      <c r="L24" s="704">
        <v>100.64867770160814</v>
      </c>
      <c r="M24" s="704">
        <v>97.480224558792926</v>
      </c>
      <c r="N24" s="703">
        <v>91.105769085618704</v>
      </c>
      <c r="O24" s="703">
        <v>88.721321018674786</v>
      </c>
      <c r="P24" s="703">
        <v>96.045534810258573</v>
      </c>
      <c r="Q24" s="703">
        <v>95.683246365273476</v>
      </c>
      <c r="R24" s="703">
        <v>88.487177806738657</v>
      </c>
      <c r="S24" s="704">
        <v>91.131086284394286</v>
      </c>
      <c r="T24" s="703">
        <v>93.760964326507349</v>
      </c>
      <c r="U24" s="559"/>
      <c r="V24" s="27"/>
      <c r="W24" s="27"/>
      <c r="X24" s="27"/>
      <c r="Y24" s="27"/>
      <c r="Z24" s="27"/>
      <c r="AA24" s="27"/>
      <c r="AB24" s="27"/>
    </row>
    <row r="25" spans="1:28" s="211" customFormat="1" ht="15" customHeight="1" x14ac:dyDescent="0.2">
      <c r="A25" s="521" t="s">
        <v>30</v>
      </c>
      <c r="B25" s="522"/>
      <c r="C25" s="523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59"/>
      <c r="V25" s="27"/>
      <c r="W25" s="27"/>
      <c r="X25" s="27"/>
      <c r="Y25" s="27"/>
      <c r="Z25" s="27"/>
      <c r="AA25" s="27"/>
      <c r="AB25" s="27"/>
    </row>
    <row r="26" spans="1:28" s="211" customFormat="1" ht="17.25" customHeight="1" x14ac:dyDescent="0.2">
      <c r="A26" s="493" t="s">
        <v>338</v>
      </c>
      <c r="B26" s="494">
        <v>100</v>
      </c>
      <c r="C26" s="495">
        <v>104.04943157444382</v>
      </c>
      <c r="D26" s="496">
        <v>108.48854240472157</v>
      </c>
      <c r="E26" s="496">
        <v>106.14646478535741</v>
      </c>
      <c r="F26" s="496">
        <v>113.61142358525109</v>
      </c>
      <c r="G26" s="496">
        <v>101.22321520655484</v>
      </c>
      <c r="H26" s="496">
        <v>104.71395595032153</v>
      </c>
      <c r="I26" s="496">
        <v>95.707196575259815</v>
      </c>
      <c r="J26" s="496">
        <v>100.86357104271673</v>
      </c>
      <c r="K26" s="496">
        <v>100.20914436547005</v>
      </c>
      <c r="L26" s="496">
        <v>100</v>
      </c>
      <c r="M26" s="496">
        <v>94.667465750397582</v>
      </c>
      <c r="N26" s="699">
        <v>103.8237236972555</v>
      </c>
      <c r="O26" s="699">
        <v>105.55640365295731</v>
      </c>
      <c r="P26" s="699">
        <v>103.37740600782901</v>
      </c>
      <c r="Q26" s="699">
        <v>97.062518507615025</v>
      </c>
      <c r="R26" s="699">
        <v>104.27364103362611</v>
      </c>
      <c r="S26" s="496">
        <v>97.333261346839009</v>
      </c>
      <c r="T26" s="699">
        <v>94.835122794032472</v>
      </c>
      <c r="U26" s="559"/>
      <c r="V26" s="27"/>
      <c r="W26" s="27"/>
      <c r="X26" s="27"/>
      <c r="Y26" s="27"/>
      <c r="Z26" s="27"/>
      <c r="AA26" s="27"/>
      <c r="AB26" s="27"/>
    </row>
    <row r="27" spans="1:28" s="558" customFormat="1" ht="17.25" customHeight="1" x14ac:dyDescent="0.2">
      <c r="A27" s="885" t="s">
        <v>369</v>
      </c>
      <c r="B27" s="525">
        <f>65+6.88703153392881</f>
        <v>71.887031533928806</v>
      </c>
      <c r="C27" s="499">
        <f>65+7.38043276000001</f>
        <v>72.380432760000005</v>
      </c>
      <c r="D27" s="500">
        <f>65+5.51176627510388</f>
        <v>70.511766275103881</v>
      </c>
      <c r="E27" s="500">
        <f>65+7.20428918981402</f>
        <v>72.20428918981402</v>
      </c>
      <c r="F27" s="500">
        <f>65+5.76052912386687</f>
        <v>70.760529123866874</v>
      </c>
      <c r="G27" s="500">
        <f>65+8.00708618707235</f>
        <v>73.007086187072346</v>
      </c>
      <c r="H27" s="500">
        <f>65+8.28086774993086</f>
        <v>73.280867749930863</v>
      </c>
      <c r="I27" s="500">
        <f>65+8.40261125720558</f>
        <v>73.402611257205578</v>
      </c>
      <c r="J27" s="500">
        <f>65+8.24826419196539</f>
        <v>73.24826419196539</v>
      </c>
      <c r="K27" s="500">
        <f>65+9.73208618707235</f>
        <v>74.732086187072355</v>
      </c>
      <c r="L27" s="500">
        <f>65+7.7</f>
        <v>72.7</v>
      </c>
      <c r="M27" s="500">
        <f>65+10.1059847391325</f>
        <v>75.105984739132495</v>
      </c>
      <c r="N27" s="501">
        <f>65+7.92808990985715</f>
        <v>72.92808990985715</v>
      </c>
      <c r="O27" s="501">
        <f>65+8.3382081718768</f>
        <v>73.338208171876801</v>
      </c>
      <c r="P27" s="501">
        <f>65+8.10917477659994</f>
        <v>73.109174776599943</v>
      </c>
      <c r="Q27" s="501">
        <f>65+9.04509155508354</f>
        <v>74.045091555083545</v>
      </c>
      <c r="R27" s="501">
        <f>65+8.10779320915321</f>
        <v>73.107793209153215</v>
      </c>
      <c r="S27" s="500">
        <f>65+8.31959447554439</f>
        <v>73.319594475544392</v>
      </c>
      <c r="T27" s="501">
        <f>65+9.75161866377685</f>
        <v>74.751618663776853</v>
      </c>
      <c r="U27" s="638"/>
      <c r="V27" s="432"/>
      <c r="W27" s="489"/>
      <c r="X27" s="432"/>
      <c r="Y27" s="432"/>
      <c r="Z27" s="432"/>
      <c r="AA27" s="432"/>
      <c r="AB27" s="432"/>
    </row>
    <row r="28" spans="1:28" s="211" customFormat="1" ht="17.25" customHeight="1" x14ac:dyDescent="0.2">
      <c r="A28" s="511" t="s">
        <v>339</v>
      </c>
      <c r="B28" s="512">
        <v>100</v>
      </c>
      <c r="C28" s="513">
        <v>102.53640417097711</v>
      </c>
      <c r="D28" s="701">
        <v>99.708727085266972</v>
      </c>
      <c r="E28" s="701">
        <v>97.936601193455601</v>
      </c>
      <c r="F28" s="701">
        <v>99.484966280524887</v>
      </c>
      <c r="G28" s="701">
        <v>97.629656783594982</v>
      </c>
      <c r="H28" s="701">
        <v>103.72988436409831</v>
      </c>
      <c r="I28" s="701">
        <v>95.836868699376993</v>
      </c>
      <c r="J28" s="701">
        <v>104.00390620308661</v>
      </c>
      <c r="K28" s="701">
        <v>103.70625794211324</v>
      </c>
      <c r="L28" s="701">
        <v>100</v>
      </c>
      <c r="M28" s="701">
        <v>108.96911245205962</v>
      </c>
      <c r="N28" s="702">
        <v>106.94846908309236</v>
      </c>
      <c r="O28" s="702">
        <v>107.23805640615826</v>
      </c>
      <c r="P28" s="702">
        <v>103.83766682660156</v>
      </c>
      <c r="Q28" s="702">
        <v>104.22575323063921</v>
      </c>
      <c r="R28" s="702">
        <v>115.98218569355625</v>
      </c>
      <c r="S28" s="701">
        <v>106.58261388405701</v>
      </c>
      <c r="T28" s="702">
        <v>96.480676300536331</v>
      </c>
      <c r="U28" s="559"/>
      <c r="V28" s="27"/>
      <c r="W28" s="27"/>
      <c r="X28" s="27"/>
      <c r="Y28" s="27"/>
      <c r="Z28" s="27"/>
      <c r="AA28" s="27"/>
      <c r="AB28" s="27"/>
    </row>
    <row r="29" spans="1:28" s="27" customFormat="1" ht="17.25" customHeight="1" x14ac:dyDescent="0.2">
      <c r="A29" s="915" t="s">
        <v>371</v>
      </c>
      <c r="B29" s="525">
        <f>65+8.19616136642111</f>
        <v>73.196161366421109</v>
      </c>
      <c r="C29" s="499">
        <f>65+8.00695627514681</f>
        <v>73.006956275146806</v>
      </c>
      <c r="D29" s="500">
        <f>65+9.69159862175822</f>
        <v>74.691598621758217</v>
      </c>
      <c r="E29" s="500">
        <f>65+7.38280086567623</f>
        <v>72.382800865676231</v>
      </c>
      <c r="F29" s="500">
        <f>65+8.404766475908</f>
        <v>73.404766475908005</v>
      </c>
      <c r="G29" s="500">
        <f>65+8.8503167567364</f>
        <v>73.850316756736404</v>
      </c>
      <c r="H29" s="500">
        <f>65+7.97903575216662</f>
        <v>72.979035752166624</v>
      </c>
      <c r="I29" s="500">
        <f>65+10.513553703123</f>
        <v>75.513553703122994</v>
      </c>
      <c r="J29" s="500">
        <f>65+7.670518378446</f>
        <v>72.670518378446005</v>
      </c>
      <c r="K29" s="500">
        <f>65+9.7478167567364</f>
        <v>74.747816756736398</v>
      </c>
      <c r="L29" s="500">
        <f>65+8.4</f>
        <v>73.400000000000006</v>
      </c>
      <c r="M29" s="500">
        <f>65+8.25828971567435</f>
        <v>73.258289715674351</v>
      </c>
      <c r="N29" s="501">
        <f>65+5.78923355813471</f>
        <v>70.789233558134711</v>
      </c>
      <c r="O29" s="501">
        <f>65+7.22352051370881</f>
        <v>72.223520513708806</v>
      </c>
      <c r="P29" s="501">
        <f>65+7.99615009006972</f>
        <v>72.996150090069719</v>
      </c>
      <c r="Q29" s="501">
        <f>65+8.83042745550686</f>
        <v>73.830427455506864</v>
      </c>
      <c r="R29" s="501">
        <f>65+5.47957559379128</f>
        <v>70.479575593791282</v>
      </c>
      <c r="S29" s="500">
        <f>65+6.2973256967165</f>
        <v>71.297325696716499</v>
      </c>
      <c r="T29" s="501">
        <f>65+10.4323944774232</f>
        <v>75.432394477423202</v>
      </c>
      <c r="U29" s="1164"/>
      <c r="V29" s="477"/>
    </row>
    <row r="30" spans="1:28" s="211" customFormat="1" ht="17.25" customHeight="1" x14ac:dyDescent="0.2">
      <c r="A30" s="511" t="s">
        <v>340</v>
      </c>
      <c r="B30" s="512">
        <v>100</v>
      </c>
      <c r="C30" s="513">
        <v>104.4984210901807</v>
      </c>
      <c r="D30" s="701">
        <v>111.98553480711759</v>
      </c>
      <c r="E30" s="701">
        <v>95.581724124962264</v>
      </c>
      <c r="F30" s="701">
        <v>105.65980591297568</v>
      </c>
      <c r="G30" s="701">
        <v>100.95405847486396</v>
      </c>
      <c r="H30" s="701">
        <v>96.332775925509011</v>
      </c>
      <c r="I30" s="701">
        <v>97.295928844905674</v>
      </c>
      <c r="J30" s="701">
        <v>98.515346998450553</v>
      </c>
      <c r="K30" s="701">
        <v>108.3075226895954</v>
      </c>
      <c r="L30" s="701">
        <v>101</v>
      </c>
      <c r="M30" s="701">
        <v>104.34174737785106</v>
      </c>
      <c r="N30" s="702">
        <v>99.086081637768515</v>
      </c>
      <c r="O30" s="702">
        <v>102.29002601826598</v>
      </c>
      <c r="P30" s="702">
        <v>100.11745407224646</v>
      </c>
      <c r="Q30" s="702">
        <v>103.35949979934598</v>
      </c>
      <c r="R30" s="702">
        <v>95.889930400356405</v>
      </c>
      <c r="S30" s="701">
        <v>104.92329318141947</v>
      </c>
      <c r="T30" s="702">
        <v>101.00635630060188</v>
      </c>
      <c r="U30" s="559"/>
      <c r="V30" s="27"/>
      <c r="W30" s="27"/>
      <c r="X30" s="27"/>
      <c r="Y30" s="27"/>
      <c r="Z30" s="27"/>
      <c r="AA30" s="27"/>
      <c r="AB30" s="27"/>
    </row>
    <row r="31" spans="1:28" s="211" customFormat="1" ht="17.25" customHeight="1" x14ac:dyDescent="0.2">
      <c r="A31" s="529" t="s">
        <v>354</v>
      </c>
      <c r="B31" s="530">
        <v>100</v>
      </c>
      <c r="C31" s="590">
        <v>105.85098656808755</v>
      </c>
      <c r="D31" s="706">
        <v>111.71709478181663</v>
      </c>
      <c r="E31" s="706">
        <v>103.83734675228003</v>
      </c>
      <c r="F31" s="706">
        <v>105.60334640680077</v>
      </c>
      <c r="G31" s="706">
        <v>104.68175212442959</v>
      </c>
      <c r="H31" s="706">
        <v>101.39904299372121</v>
      </c>
      <c r="I31" s="706">
        <v>111.25813318045988</v>
      </c>
      <c r="J31" s="706">
        <v>106.58585096495747</v>
      </c>
      <c r="K31" s="706">
        <v>115.48575597489346</v>
      </c>
      <c r="L31" s="706">
        <v>105.5000031788269</v>
      </c>
      <c r="M31" s="706">
        <v>108.17152166732116</v>
      </c>
      <c r="N31" s="707">
        <v>107.02979604879577</v>
      </c>
      <c r="O31" s="707">
        <v>105.39730346578234</v>
      </c>
      <c r="P31" s="707">
        <v>102.25945317196889</v>
      </c>
      <c r="Q31" s="707">
        <v>102.86753534742734</v>
      </c>
      <c r="R31" s="707">
        <v>98.423489248174107</v>
      </c>
      <c r="S31" s="706">
        <v>99.925623232219095</v>
      </c>
      <c r="T31" s="707">
        <v>103.66642362464118</v>
      </c>
      <c r="U31" s="559"/>
      <c r="V31" s="27"/>
      <c r="W31" s="27"/>
      <c r="X31" s="27"/>
      <c r="Y31" s="27"/>
      <c r="Z31" s="27"/>
      <c r="AA31" s="27"/>
      <c r="AB31" s="27"/>
    </row>
    <row r="32" spans="1:28" s="27" customFormat="1" ht="17.25" customHeight="1" x14ac:dyDescent="0.2">
      <c r="A32" s="533" t="s">
        <v>18</v>
      </c>
      <c r="B32" s="534"/>
      <c r="C32" s="535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559"/>
    </row>
    <row r="33" spans="1:28" s="27" customFormat="1" ht="17.25" customHeight="1" x14ac:dyDescent="0.2">
      <c r="A33" s="539" t="s">
        <v>7</v>
      </c>
      <c r="B33" s="540">
        <v>7.0198940960471443</v>
      </c>
      <c r="C33" s="532">
        <v>6.9611305220472977</v>
      </c>
      <c r="D33" s="541">
        <v>7.2123747984843414</v>
      </c>
      <c r="E33" s="541">
        <v>7.0692093669615801</v>
      </c>
      <c r="F33" s="541">
        <v>6.7685591345357725</v>
      </c>
      <c r="G33" s="541">
        <v>7.140488704372344</v>
      </c>
      <c r="H33" s="541">
        <v>6.9732227253890926</v>
      </c>
      <c r="I33" s="868">
        <v>7.2252805909478042</v>
      </c>
      <c r="J33" s="868">
        <v>6.7978836460922967</v>
      </c>
      <c r="K33" s="541">
        <v>7.265488704372344</v>
      </c>
      <c r="L33" s="868">
        <v>7.1</v>
      </c>
      <c r="M33" s="541">
        <v>6.9571810829341896</v>
      </c>
      <c r="N33" s="542">
        <v>6.4755430917467143</v>
      </c>
      <c r="O33" s="542">
        <v>6.9398770631334674</v>
      </c>
      <c r="P33" s="542">
        <v>6.9842387043723431</v>
      </c>
      <c r="Q33" s="869">
        <v>7.0594778152690658</v>
      </c>
      <c r="R33" s="542">
        <v>6.8899370111132052</v>
      </c>
      <c r="S33" s="541">
        <v>6.7983282273206047</v>
      </c>
      <c r="T33" s="591">
        <v>6.7084212598222042</v>
      </c>
      <c r="U33" s="559"/>
    </row>
    <row r="34" spans="1:28" s="27" customFormat="1" ht="17.25" customHeight="1" x14ac:dyDescent="0.2">
      <c r="A34" s="533" t="s">
        <v>19</v>
      </c>
      <c r="B34" s="534"/>
      <c r="C34" s="535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59"/>
    </row>
    <row r="35" spans="1:28" s="27" customFormat="1" ht="17.25" customHeight="1" x14ac:dyDescent="0.2">
      <c r="A35" s="543" t="s">
        <v>8</v>
      </c>
      <c r="B35" s="544">
        <v>6.1385366578673457</v>
      </c>
      <c r="C35" s="380">
        <v>5.0295364238410594</v>
      </c>
      <c r="D35" s="545">
        <v>3.7</v>
      </c>
      <c r="E35" s="545">
        <v>3.7</v>
      </c>
      <c r="F35" s="545">
        <v>7.9996688741721851</v>
      </c>
      <c r="G35" s="545">
        <v>8.8678807947019873</v>
      </c>
      <c r="H35" s="545">
        <v>8.1317880794701978</v>
      </c>
      <c r="I35" s="545">
        <v>8.339403973509933</v>
      </c>
      <c r="J35" s="545">
        <v>6.15</v>
      </c>
      <c r="K35" s="545">
        <v>7.3201986754966883</v>
      </c>
      <c r="L35" s="545">
        <v>7.5</v>
      </c>
      <c r="M35" s="545">
        <v>3.9</v>
      </c>
      <c r="N35" s="712">
        <v>7.7165562913907282</v>
      </c>
      <c r="O35" s="712">
        <v>8.6225165562913908</v>
      </c>
      <c r="P35" s="712">
        <v>8.1884105960264897</v>
      </c>
      <c r="Q35" s="712">
        <v>8.2072847682119203</v>
      </c>
      <c r="R35" s="712">
        <v>7.9052980132450328</v>
      </c>
      <c r="S35" s="545">
        <v>5.8480132450331119</v>
      </c>
      <c r="T35" s="712">
        <v>8.3205298013245041</v>
      </c>
      <c r="U35" s="559"/>
    </row>
    <row r="36" spans="1:28" s="27" customFormat="1" ht="17.25" customHeight="1" x14ac:dyDescent="0.2">
      <c r="A36" s="547" t="s">
        <v>9</v>
      </c>
      <c r="B36" s="548">
        <v>6.6204545454545434</v>
      </c>
      <c r="C36" s="380">
        <v>7.8100000000000005</v>
      </c>
      <c r="D36" s="500">
        <v>8.4499999999999993</v>
      </c>
      <c r="E36" s="500">
        <v>7.55</v>
      </c>
      <c r="F36" s="500">
        <v>7.85</v>
      </c>
      <c r="G36" s="549" t="s">
        <v>344</v>
      </c>
      <c r="H36" s="500">
        <v>7.65</v>
      </c>
      <c r="I36" s="500" t="s">
        <v>170</v>
      </c>
      <c r="J36" s="500" t="s">
        <v>337</v>
      </c>
      <c r="K36" s="549" t="s">
        <v>346</v>
      </c>
      <c r="L36" s="889" t="s">
        <v>337</v>
      </c>
      <c r="M36" s="500">
        <v>7.6</v>
      </c>
      <c r="N36" s="550">
        <v>8.8000000000000007</v>
      </c>
      <c r="O36" s="550">
        <v>8.1999999999999993</v>
      </c>
      <c r="P36" s="550">
        <v>6.85</v>
      </c>
      <c r="Q36" s="865" t="s">
        <v>6</v>
      </c>
      <c r="R36" s="550">
        <v>8.5</v>
      </c>
      <c r="S36" s="500">
        <v>7.6</v>
      </c>
      <c r="T36" s="501">
        <v>8.4499999999999993</v>
      </c>
      <c r="U36" s="559"/>
    </row>
    <row r="37" spans="1:28" s="27" customFormat="1" ht="17.25" customHeight="1" x14ac:dyDescent="0.2">
      <c r="A37" s="539" t="s">
        <v>10</v>
      </c>
      <c r="B37" s="551">
        <v>7.0363636363636353</v>
      </c>
      <c r="C37" s="380">
        <v>7.7200000000000006</v>
      </c>
      <c r="D37" s="541">
        <v>8.0500000000000007</v>
      </c>
      <c r="E37" s="541">
        <v>6.35</v>
      </c>
      <c r="F37" s="541">
        <v>8.4499999999999993</v>
      </c>
      <c r="G37" s="861" t="s">
        <v>175</v>
      </c>
      <c r="H37" s="541">
        <v>8.25</v>
      </c>
      <c r="I37" s="541">
        <v>5.3</v>
      </c>
      <c r="J37" s="541">
        <v>7.15</v>
      </c>
      <c r="K37" s="861" t="s">
        <v>347</v>
      </c>
      <c r="L37" s="541">
        <v>6.8</v>
      </c>
      <c r="M37" s="541">
        <v>7.45</v>
      </c>
      <c r="N37" s="542">
        <v>5.95</v>
      </c>
      <c r="O37" s="591">
        <v>8.1</v>
      </c>
      <c r="P37" s="864" t="s">
        <v>174</v>
      </c>
      <c r="Q37" s="864" t="s">
        <v>170</v>
      </c>
      <c r="R37" s="542">
        <v>7.8</v>
      </c>
      <c r="S37" s="541">
        <v>8.3000000000000007</v>
      </c>
      <c r="T37" s="542">
        <v>7.3</v>
      </c>
      <c r="U37" s="559"/>
    </row>
    <row r="38" spans="1:28" s="27" customFormat="1" ht="9" customHeight="1" x14ac:dyDescent="0.2">
      <c r="A38" s="592"/>
      <c r="B38" s="593"/>
      <c r="C38" s="284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78"/>
      <c r="P38" s="578"/>
      <c r="Q38" s="578"/>
      <c r="R38" s="508"/>
      <c r="S38" s="508"/>
      <c r="T38" s="578"/>
      <c r="U38" s="559"/>
    </row>
    <row r="39" spans="1:28" s="27" customFormat="1" ht="17.25" customHeight="1" x14ac:dyDescent="0.2">
      <c r="A39" s="312" t="s">
        <v>11</v>
      </c>
      <c r="B39" s="244" t="s">
        <v>6</v>
      </c>
      <c r="C39" s="245" t="s">
        <v>6</v>
      </c>
      <c r="D39" s="246">
        <v>2014</v>
      </c>
      <c r="E39" s="74">
        <v>2004</v>
      </c>
      <c r="F39" s="246">
        <v>2011</v>
      </c>
      <c r="G39" s="246">
        <v>2017</v>
      </c>
      <c r="H39" s="246">
        <v>2013</v>
      </c>
      <c r="I39" s="246">
        <v>2018</v>
      </c>
      <c r="J39" s="791" t="s">
        <v>6</v>
      </c>
      <c r="K39" s="246">
        <v>2017</v>
      </c>
      <c r="L39" s="791" t="s">
        <v>6</v>
      </c>
      <c r="M39" s="74">
        <v>2005</v>
      </c>
      <c r="N39" s="228">
        <v>2015</v>
      </c>
      <c r="O39" s="228">
        <v>2016</v>
      </c>
      <c r="P39" s="228">
        <v>2017</v>
      </c>
      <c r="Q39" s="228">
        <v>2017</v>
      </c>
      <c r="R39" s="228">
        <v>2013</v>
      </c>
      <c r="S39" s="246">
        <v>2004</v>
      </c>
      <c r="T39" s="228">
        <v>2006</v>
      </c>
      <c r="U39" s="559"/>
    </row>
    <row r="40" spans="1:28" s="211" customFormat="1" ht="17.25" customHeight="1" x14ac:dyDescent="0.2">
      <c r="A40" s="561" t="s">
        <v>12</v>
      </c>
      <c r="B40" s="562"/>
      <c r="C40" s="563"/>
      <c r="D40" s="108"/>
      <c r="E40" s="108"/>
      <c r="F40" s="108"/>
      <c r="G40" s="108"/>
      <c r="H40" s="108"/>
      <c r="I40" s="108"/>
      <c r="J40" s="108"/>
      <c r="K40" s="108"/>
      <c r="L40" s="108"/>
      <c r="M40" s="508"/>
      <c r="N40" s="108"/>
      <c r="O40" s="603"/>
      <c r="P40" s="603"/>
      <c r="Q40" s="603"/>
      <c r="R40" s="108"/>
      <c r="S40" s="108"/>
      <c r="T40" s="564"/>
      <c r="U40" s="559"/>
      <c r="V40" s="27"/>
      <c r="W40" s="27"/>
      <c r="X40" s="27"/>
      <c r="Y40" s="27"/>
      <c r="Z40" s="27"/>
      <c r="AA40" s="27"/>
      <c r="AB40" s="27"/>
    </row>
    <row r="41" spans="1:28" s="211" customFormat="1" ht="17.25" customHeight="1" x14ac:dyDescent="0.2">
      <c r="A41" s="543" t="s">
        <v>33</v>
      </c>
      <c r="B41" s="567" t="s">
        <v>6</v>
      </c>
      <c r="C41" s="568" t="s">
        <v>6</v>
      </c>
      <c r="D41" s="570">
        <v>12</v>
      </c>
      <c r="E41" s="570">
        <v>17</v>
      </c>
      <c r="F41" s="570">
        <v>12</v>
      </c>
      <c r="G41" s="570">
        <v>12</v>
      </c>
      <c r="H41" s="570">
        <v>12</v>
      </c>
      <c r="I41" s="570">
        <v>9</v>
      </c>
      <c r="J41" s="570">
        <v>5</v>
      </c>
      <c r="K41" s="570">
        <v>12</v>
      </c>
      <c r="L41" s="570">
        <v>5</v>
      </c>
      <c r="M41" s="571">
        <v>26</v>
      </c>
      <c r="N41" s="580">
        <v>7</v>
      </c>
      <c r="O41" s="580">
        <v>12</v>
      </c>
      <c r="P41" s="580">
        <v>12</v>
      </c>
      <c r="Q41" s="580">
        <v>9</v>
      </c>
      <c r="R41" s="580">
        <v>11</v>
      </c>
      <c r="S41" s="570">
        <v>12</v>
      </c>
      <c r="T41" s="1162">
        <v>11</v>
      </c>
      <c r="U41" s="559"/>
      <c r="V41" s="27"/>
      <c r="W41" s="27"/>
      <c r="X41" s="27"/>
      <c r="Y41" s="27"/>
      <c r="Z41" s="27"/>
      <c r="AA41" s="27"/>
      <c r="AB41" s="27"/>
    </row>
    <row r="42" spans="1:28" s="211" customFormat="1" ht="17.25" customHeight="1" x14ac:dyDescent="0.2">
      <c r="A42" s="547" t="s">
        <v>34</v>
      </c>
      <c r="B42" s="572" t="s">
        <v>6</v>
      </c>
      <c r="C42" s="573" t="s">
        <v>6</v>
      </c>
      <c r="D42" s="575">
        <v>13</v>
      </c>
      <c r="E42" s="575">
        <v>15</v>
      </c>
      <c r="F42" s="575">
        <v>11</v>
      </c>
      <c r="G42" s="575">
        <v>9</v>
      </c>
      <c r="H42" s="575">
        <v>12</v>
      </c>
      <c r="I42" s="575">
        <v>6</v>
      </c>
      <c r="J42" s="575">
        <v>6</v>
      </c>
      <c r="K42" s="575">
        <v>9</v>
      </c>
      <c r="L42" s="575">
        <v>6</v>
      </c>
      <c r="M42" s="575">
        <v>25</v>
      </c>
      <c r="N42" s="581">
        <v>7</v>
      </c>
      <c r="O42" s="581">
        <v>12</v>
      </c>
      <c r="P42" s="581">
        <v>9</v>
      </c>
      <c r="Q42" s="581">
        <v>6</v>
      </c>
      <c r="R42" s="581">
        <v>12</v>
      </c>
      <c r="S42" s="575">
        <v>11</v>
      </c>
      <c r="T42" s="581">
        <v>11</v>
      </c>
      <c r="U42" s="559"/>
      <c r="V42" s="27"/>
      <c r="W42" s="27"/>
      <c r="X42" s="27"/>
      <c r="Y42" s="27"/>
      <c r="Z42" s="27"/>
      <c r="AA42" s="27"/>
      <c r="AB42" s="27"/>
    </row>
    <row r="43" spans="1:28" s="211" customFormat="1" ht="17.25" customHeight="1" thickBot="1" x14ac:dyDescent="0.25">
      <c r="A43" s="349" t="s">
        <v>35</v>
      </c>
      <c r="B43" s="646" t="s">
        <v>6</v>
      </c>
      <c r="C43" s="647" t="s">
        <v>6</v>
      </c>
      <c r="D43" s="648">
        <v>13</v>
      </c>
      <c r="E43" s="648">
        <v>12</v>
      </c>
      <c r="F43" s="648">
        <v>12</v>
      </c>
      <c r="G43" s="648">
        <v>5</v>
      </c>
      <c r="H43" s="648">
        <v>11</v>
      </c>
      <c r="I43" s="648">
        <v>5</v>
      </c>
      <c r="J43" s="648">
        <v>6</v>
      </c>
      <c r="K43" s="648">
        <v>5</v>
      </c>
      <c r="L43" s="648">
        <v>6</v>
      </c>
      <c r="M43" s="648">
        <v>21</v>
      </c>
      <c r="N43" s="649">
        <v>6</v>
      </c>
      <c r="O43" s="649">
        <v>9</v>
      </c>
      <c r="P43" s="649">
        <v>5</v>
      </c>
      <c r="Q43" s="649">
        <v>5</v>
      </c>
      <c r="R43" s="649">
        <v>11</v>
      </c>
      <c r="S43" s="648">
        <v>10</v>
      </c>
      <c r="T43" s="586">
        <v>10</v>
      </c>
      <c r="U43" s="559"/>
      <c r="V43" s="27"/>
      <c r="W43" s="27"/>
      <c r="X43" s="27"/>
      <c r="Y43" s="27"/>
      <c r="Z43" s="27"/>
      <c r="AA43" s="27"/>
      <c r="AB43" s="27"/>
    </row>
    <row r="44" spans="1:28" s="9" customFormat="1" ht="13.5" customHeight="1" x14ac:dyDescent="0.2">
      <c r="A44" s="405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6"/>
      <c r="V44" s="6"/>
      <c r="W44" s="6"/>
      <c r="X44" s="6"/>
      <c r="Y44" s="6"/>
      <c r="Z44" s="6"/>
      <c r="AA44" s="6"/>
      <c r="AB44" s="6"/>
    </row>
    <row r="45" spans="1:28" s="9" customFormat="1" ht="13.5" customHeight="1" x14ac:dyDescent="0.2">
      <c r="A45" s="9" t="s">
        <v>89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6"/>
      <c r="V45" s="6"/>
      <c r="W45" s="6"/>
      <c r="X45" s="6"/>
      <c r="Y45" s="6"/>
      <c r="Z45" s="6"/>
      <c r="AA45" s="6"/>
      <c r="AB45" s="6"/>
    </row>
    <row r="46" spans="1:28" ht="13.5" customHeight="1" x14ac:dyDescent="0.2">
      <c r="A46" s="1" t="s">
        <v>83</v>
      </c>
      <c r="B46" s="2"/>
      <c r="C46" s="2"/>
      <c r="M46" s="106"/>
      <c r="N46" s="106"/>
      <c r="O46" s="106"/>
      <c r="P46" s="106"/>
      <c r="Q46" s="106"/>
      <c r="R46" s="106"/>
      <c r="S46" s="106"/>
    </row>
    <row r="47" spans="1:28" ht="13.5" customHeight="1" x14ac:dyDescent="0.2">
      <c r="A47" s="1" t="s">
        <v>87</v>
      </c>
      <c r="B47" s="2"/>
      <c r="C47" s="2"/>
      <c r="M47" s="106"/>
      <c r="N47" s="106"/>
      <c r="O47" s="106"/>
      <c r="P47" s="106"/>
      <c r="Q47" s="106"/>
      <c r="R47" s="106"/>
      <c r="S47" s="106"/>
    </row>
    <row r="48" spans="1:28" ht="13.5" customHeight="1" x14ac:dyDescent="0.2">
      <c r="A48" s="1" t="s">
        <v>72</v>
      </c>
      <c r="B48" s="2"/>
      <c r="C48" s="2"/>
      <c r="I48" s="106"/>
      <c r="K48" s="106"/>
      <c r="M48" s="106"/>
      <c r="N48" s="106"/>
      <c r="O48" s="106"/>
      <c r="P48" s="106"/>
      <c r="Q48" s="106"/>
      <c r="R48" s="106"/>
      <c r="S48" s="106"/>
    </row>
    <row r="49" spans="1:20" ht="13.5" customHeight="1" x14ac:dyDescent="0.2">
      <c r="A49" s="1" t="s">
        <v>73</v>
      </c>
      <c r="B49" s="2"/>
      <c r="C49" s="2"/>
      <c r="I49" s="106"/>
      <c r="K49" s="106"/>
      <c r="M49" s="106"/>
      <c r="N49" s="106"/>
      <c r="O49" s="106"/>
      <c r="P49" s="106"/>
      <c r="Q49" s="106"/>
      <c r="R49" s="106"/>
      <c r="S49" s="106"/>
    </row>
    <row r="50" spans="1:20" ht="13.5" customHeight="1" x14ac:dyDescent="0.2">
      <c r="A50" s="6" t="s">
        <v>75</v>
      </c>
      <c r="B50" s="111"/>
      <c r="C50" s="111"/>
    </row>
    <row r="51" spans="1:20" ht="13.5" customHeight="1" x14ac:dyDescent="0.2">
      <c r="A51" s="169" t="s">
        <v>143</v>
      </c>
    </row>
    <row r="52" spans="1:20" x14ac:dyDescent="0.2">
      <c r="A52" s="1174" t="s">
        <v>375</v>
      </c>
    </row>
    <row r="53" spans="1:20" x14ac:dyDescent="0.2">
      <c r="A53" s="19" t="s">
        <v>377</v>
      </c>
    </row>
    <row r="55" spans="1:20" x14ac:dyDescent="0.2">
      <c r="T55" s="6"/>
    </row>
    <row r="56" spans="1:20" x14ac:dyDescent="0.2">
      <c r="T56" s="6"/>
    </row>
    <row r="57" spans="1:20" x14ac:dyDescent="0.2">
      <c r="T57" s="6"/>
    </row>
    <row r="58" spans="1:20" x14ac:dyDescent="0.2">
      <c r="T58" s="6"/>
    </row>
    <row r="61" spans="1:20" x14ac:dyDescent="0.2">
      <c r="T61" s="6"/>
    </row>
    <row r="62" spans="1:20" x14ac:dyDescent="0.2">
      <c r="T62" s="6"/>
    </row>
    <row r="63" spans="1:20" x14ac:dyDescent="0.2">
      <c r="T63" s="6"/>
    </row>
    <row r="64" spans="1:20" x14ac:dyDescent="0.2">
      <c r="T64" s="6"/>
    </row>
    <row r="65" spans="20:20" x14ac:dyDescent="0.2">
      <c r="T65" s="6"/>
    </row>
    <row r="66" spans="20:20" x14ac:dyDescent="0.2">
      <c r="T66" s="6"/>
    </row>
    <row r="67" spans="20:20" x14ac:dyDescent="0.2">
      <c r="T67" s="6"/>
    </row>
    <row r="68" spans="20:20" x14ac:dyDescent="0.2">
      <c r="T68" s="6"/>
    </row>
    <row r="69" spans="20:20" x14ac:dyDescent="0.2">
      <c r="T69" s="6"/>
    </row>
    <row r="70" spans="20:20" x14ac:dyDescent="0.2">
      <c r="T70" s="6"/>
    </row>
    <row r="71" spans="20:20" x14ac:dyDescent="0.2">
      <c r="T71" s="6"/>
    </row>
    <row r="72" spans="20:20" x14ac:dyDescent="0.2">
      <c r="T72" s="6"/>
    </row>
    <row r="73" spans="20:20" x14ac:dyDescent="0.2">
      <c r="T73" s="6"/>
    </row>
    <row r="74" spans="20:20" x14ac:dyDescent="0.2">
      <c r="T74" s="6"/>
    </row>
  </sheetData>
  <conditionalFormatting sqref="J27">
    <cfRule type="cellIs" dxfId="3" priority="4" stopIfTrue="1" operator="greaterThan">
      <formula>"7.5+1.35"</formula>
    </cfRule>
    <cfRule type="aboveAverage" priority="5" stopIfTrue="1"/>
    <cfRule type="cellIs" dxfId="2" priority="6" stopIfTrue="1" operator="greaterThan">
      <formula>"7.5+$Z$37"</formula>
    </cfRule>
  </conditionalFormatting>
  <conditionalFormatting sqref="K27:T27 D27:I27">
    <cfRule type="cellIs" dxfId="1" priority="111" stopIfTrue="1" operator="greaterThan">
      <formula>"7.5+1.35"</formula>
    </cfRule>
    <cfRule type="aboveAverage" priority="112" stopIfTrue="1"/>
    <cfRule type="cellIs" dxfId="0" priority="113" stopIfTrue="1" operator="greaterThan">
      <formula>"7.5+$Z$37"</formula>
    </cfRule>
  </conditionalFormatting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BU51"/>
  <sheetViews>
    <sheetView topLeftCell="A16" zoomScale="93" zoomScaleNormal="93" workbookViewId="0">
      <selection activeCell="A51" sqref="A51:XFD51"/>
    </sheetView>
  </sheetViews>
  <sheetFormatPr defaultColWidth="9.140625" defaultRowHeight="12.75" x14ac:dyDescent="0.2"/>
  <cols>
    <col min="1" max="1" width="43.85546875" style="6" customWidth="1"/>
    <col min="2" max="2" width="10.42578125" style="110" customWidth="1"/>
    <col min="3" max="3" width="10" style="110" customWidth="1"/>
    <col min="4" max="12" width="8.42578125" style="110" customWidth="1"/>
    <col min="13" max="13" width="8" style="110" customWidth="1"/>
    <col min="14" max="26" width="8.42578125" style="110" customWidth="1"/>
    <col min="27" max="27" width="9.140625" style="6"/>
    <col min="28" max="28" width="11.42578125" style="6" customWidth="1"/>
    <col min="29" max="16384" width="9.140625" style="6"/>
  </cols>
  <sheetData>
    <row r="1" spans="1:29" ht="15" x14ac:dyDescent="0.25">
      <c r="A1" s="48" t="s">
        <v>193</v>
      </c>
      <c r="B1" s="112"/>
      <c r="C1" s="112"/>
      <c r="D1" s="4"/>
      <c r="E1" s="4"/>
      <c r="F1" s="3"/>
      <c r="G1" s="3"/>
      <c r="H1" s="3"/>
      <c r="I1" s="4"/>
      <c r="J1" s="4"/>
      <c r="K1" s="4"/>
      <c r="L1" s="3"/>
      <c r="M1" s="3"/>
      <c r="N1" s="3"/>
      <c r="P1" s="3"/>
      <c r="Q1" s="3"/>
      <c r="R1" s="4"/>
      <c r="S1" s="3"/>
      <c r="T1" s="3"/>
      <c r="U1" s="4"/>
      <c r="V1" s="3"/>
      <c r="W1" s="3"/>
    </row>
    <row r="2" spans="1:29" ht="11.25" customHeight="1" thickBot="1" x14ac:dyDescent="0.3">
      <c r="A2" s="49"/>
      <c r="B2" s="112"/>
      <c r="C2" s="1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4"/>
      <c r="Q2" s="4"/>
      <c r="R2" s="3"/>
      <c r="S2" s="4"/>
      <c r="T2" s="4"/>
      <c r="U2" s="4"/>
      <c r="V2" s="4"/>
      <c r="W2" s="4"/>
      <c r="X2" s="3"/>
      <c r="Y2" s="3"/>
      <c r="Z2" s="3"/>
      <c r="AA2" s="3"/>
      <c r="AB2" s="3"/>
    </row>
    <row r="3" spans="1:29" ht="86.45" customHeight="1" x14ac:dyDescent="0.2">
      <c r="A3" s="57"/>
      <c r="B3" s="59" t="s">
        <v>184</v>
      </c>
      <c r="C3" s="59" t="s">
        <v>185</v>
      </c>
      <c r="D3" s="874" t="s">
        <v>161</v>
      </c>
      <c r="E3" s="22" t="s">
        <v>149</v>
      </c>
      <c r="F3" s="874" t="s">
        <v>269</v>
      </c>
      <c r="G3" s="874" t="s">
        <v>270</v>
      </c>
      <c r="H3" s="22" t="s">
        <v>90</v>
      </c>
      <c r="I3" s="874" t="s">
        <v>156</v>
      </c>
      <c r="J3" s="22" t="s">
        <v>81</v>
      </c>
      <c r="K3" s="874" t="s">
        <v>165</v>
      </c>
      <c r="L3" s="22" t="s">
        <v>152</v>
      </c>
      <c r="M3" s="874" t="s">
        <v>78</v>
      </c>
      <c r="N3" s="875" t="s">
        <v>79</v>
      </c>
      <c r="O3" s="874" t="s">
        <v>132</v>
      </c>
      <c r="P3" s="874" t="s">
        <v>268</v>
      </c>
      <c r="Q3" s="875" t="s">
        <v>118</v>
      </c>
      <c r="R3" s="875" t="s">
        <v>103</v>
      </c>
      <c r="S3" s="875" t="s">
        <v>119</v>
      </c>
      <c r="T3" s="875" t="s">
        <v>147</v>
      </c>
      <c r="U3" s="874" t="s">
        <v>151</v>
      </c>
      <c r="V3" s="875" t="s">
        <v>145</v>
      </c>
      <c r="W3" s="874" t="s">
        <v>271</v>
      </c>
      <c r="X3" s="651" t="s">
        <v>82</v>
      </c>
      <c r="Y3" s="651" t="s">
        <v>80</v>
      </c>
      <c r="Z3" s="22" t="s">
        <v>150</v>
      </c>
      <c r="AA3" s="1060"/>
    </row>
    <row r="4" spans="1:29" ht="26.25" customHeight="1" x14ac:dyDescent="0.2">
      <c r="A4" s="50" t="s">
        <v>31</v>
      </c>
      <c r="B4" s="61" t="s">
        <v>6</v>
      </c>
      <c r="C4" s="61" t="s">
        <v>6</v>
      </c>
      <c r="D4" s="790" t="s">
        <v>3</v>
      </c>
      <c r="E4" s="24" t="s">
        <v>3</v>
      </c>
      <c r="F4" s="790" t="s">
        <v>3</v>
      </c>
      <c r="G4" s="790" t="s">
        <v>3</v>
      </c>
      <c r="H4" s="24" t="s">
        <v>2</v>
      </c>
      <c r="I4" s="790" t="s">
        <v>4</v>
      </c>
      <c r="J4" s="24" t="s">
        <v>2</v>
      </c>
      <c r="K4" s="790" t="s">
        <v>4</v>
      </c>
      <c r="L4" s="24" t="s">
        <v>3</v>
      </c>
      <c r="M4" s="790" t="s">
        <v>2</v>
      </c>
      <c r="N4" s="790" t="s">
        <v>2</v>
      </c>
      <c r="O4" s="790" t="s">
        <v>2</v>
      </c>
      <c r="P4" s="790" t="s">
        <v>3</v>
      </c>
      <c r="Q4" s="790" t="s">
        <v>4</v>
      </c>
      <c r="R4" s="790" t="s">
        <v>5</v>
      </c>
      <c r="S4" s="790" t="s">
        <v>2</v>
      </c>
      <c r="T4" s="790" t="s">
        <v>3</v>
      </c>
      <c r="U4" s="790" t="s">
        <v>3</v>
      </c>
      <c r="V4" s="790" t="s">
        <v>3</v>
      </c>
      <c r="W4" s="790" t="s">
        <v>4</v>
      </c>
      <c r="X4" s="24" t="s">
        <v>5</v>
      </c>
      <c r="Y4" s="24" t="s">
        <v>2</v>
      </c>
      <c r="Z4" s="652" t="s">
        <v>4</v>
      </c>
      <c r="AA4" s="1060"/>
    </row>
    <row r="5" spans="1:29" s="27" customFormat="1" x14ac:dyDescent="0.2">
      <c r="A5" s="588" t="s">
        <v>13</v>
      </c>
      <c r="B5" s="65" t="s">
        <v>6</v>
      </c>
      <c r="C5" s="65" t="s">
        <v>6</v>
      </c>
      <c r="D5" s="25">
        <v>152.60899999999998</v>
      </c>
      <c r="E5" s="25">
        <v>154.05700000000002</v>
      </c>
      <c r="F5" s="25">
        <v>154.34699999999998</v>
      </c>
      <c r="G5" s="25">
        <v>154.63900000000001</v>
      </c>
      <c r="H5" s="25">
        <v>154.739</v>
      </c>
      <c r="I5" s="25">
        <v>154.929</v>
      </c>
      <c r="J5" s="25">
        <v>155.185</v>
      </c>
      <c r="K5" s="227">
        <v>155.58100000000002</v>
      </c>
      <c r="L5" s="25">
        <v>156.25900000000001</v>
      </c>
      <c r="M5" s="25">
        <v>156.33799999999999</v>
      </c>
      <c r="N5" s="25">
        <v>156.37900000000002</v>
      </c>
      <c r="O5" s="25">
        <v>156.38400000000001</v>
      </c>
      <c r="P5" s="25">
        <v>157.32499999999999</v>
      </c>
      <c r="Q5" s="25">
        <v>157.44999999999999</v>
      </c>
      <c r="R5" s="25">
        <v>157.48099999999999</v>
      </c>
      <c r="S5" s="25">
        <v>157.97199999999998</v>
      </c>
      <c r="T5" s="25">
        <v>158.369</v>
      </c>
      <c r="U5" s="25">
        <v>159.172</v>
      </c>
      <c r="V5" s="25">
        <v>159.69499999999999</v>
      </c>
      <c r="W5" s="25">
        <v>160.023</v>
      </c>
      <c r="X5" s="25">
        <v>162.524</v>
      </c>
      <c r="Y5" s="25">
        <v>164.31100000000001</v>
      </c>
      <c r="Z5" s="227">
        <v>170.964</v>
      </c>
      <c r="AA5" s="559"/>
    </row>
    <row r="6" spans="1:29" s="27" customFormat="1" ht="17.25" customHeight="1" x14ac:dyDescent="0.2">
      <c r="A6" s="1022" t="s">
        <v>16</v>
      </c>
      <c r="B6" s="1023"/>
      <c r="C6" s="1023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  <c r="O6" s="630"/>
      <c r="P6" s="1025"/>
      <c r="Q6" s="1025"/>
      <c r="R6" s="1025"/>
      <c r="S6" s="1025"/>
      <c r="T6" s="1025"/>
      <c r="U6" s="1025"/>
      <c r="V6" s="1025"/>
      <c r="W6" s="1025"/>
      <c r="X6" s="1025"/>
      <c r="Y6" s="1025"/>
      <c r="Z6" s="630"/>
      <c r="AA6" s="559"/>
      <c r="AC6" s="378"/>
    </row>
    <row r="7" spans="1:29" s="27" customFormat="1" ht="17.25" customHeight="1" x14ac:dyDescent="0.2">
      <c r="A7" s="493" t="s">
        <v>356</v>
      </c>
      <c r="B7" s="494">
        <v>100</v>
      </c>
      <c r="C7" s="495">
        <v>98.630115125371432</v>
      </c>
      <c r="D7" s="496">
        <v>98.448374658613716</v>
      </c>
      <c r="E7" s="496">
        <v>103.88245283030219</v>
      </c>
      <c r="F7" s="496">
        <v>102.93217140186424</v>
      </c>
      <c r="G7" s="496">
        <v>101.06596943657138</v>
      </c>
      <c r="H7" s="496">
        <v>97.295731336212896</v>
      </c>
      <c r="I7" s="496">
        <v>99.066111691997918</v>
      </c>
      <c r="J7" s="496">
        <v>99.998987680520784</v>
      </c>
      <c r="K7" s="496">
        <v>100.24706700876666</v>
      </c>
      <c r="L7" s="496">
        <v>103.21195436738134</v>
      </c>
      <c r="M7" s="496">
        <v>96.658884761923602</v>
      </c>
      <c r="N7" s="496">
        <v>97.891041383982468</v>
      </c>
      <c r="O7" s="720">
        <v>99.161279044476089</v>
      </c>
      <c r="P7" s="496">
        <v>101.41241698210519</v>
      </c>
      <c r="Q7" s="496">
        <v>96.803280673009809</v>
      </c>
      <c r="R7" s="496">
        <v>97.416612017900519</v>
      </c>
      <c r="S7" s="496">
        <v>99.395908237798153</v>
      </c>
      <c r="T7" s="496">
        <v>101.12228577073382</v>
      </c>
      <c r="U7" s="496">
        <v>109.10626075426742</v>
      </c>
      <c r="V7" s="496">
        <v>100.42082390272427</v>
      </c>
      <c r="W7" s="496">
        <v>101.79051311564707</v>
      </c>
      <c r="X7" s="496">
        <v>104.27723495174708</v>
      </c>
      <c r="Y7" s="496">
        <v>101.30593046421747</v>
      </c>
      <c r="Z7" s="720">
        <v>103.07853023999911</v>
      </c>
      <c r="AA7" s="559"/>
      <c r="AC7" s="378"/>
    </row>
    <row r="8" spans="1:29" s="27" customFormat="1" ht="17.25" customHeight="1" x14ac:dyDescent="0.2">
      <c r="A8" s="885" t="s">
        <v>370</v>
      </c>
      <c r="B8" s="498">
        <f>65+12.1948785603773</f>
        <v>77.194878560377305</v>
      </c>
      <c r="C8" s="499">
        <f>65+11.8919754963427</f>
        <v>76.891975496342695</v>
      </c>
      <c r="D8" s="500">
        <f>65+11.4095775986498</f>
        <v>76.409577598649804</v>
      </c>
      <c r="E8" s="500">
        <f>65+11.1205265908049</f>
        <v>76.1205265908049</v>
      </c>
      <c r="F8" s="500">
        <f>65+14.7185151826378</f>
        <v>79.718515182637802</v>
      </c>
      <c r="G8" s="500">
        <f>65+12.4214098160528</f>
        <v>77.421409816052801</v>
      </c>
      <c r="H8" s="500">
        <f>65+11.01776299055</f>
        <v>76.017762990549997</v>
      </c>
      <c r="I8" s="500">
        <f>65+11.3814441417416</f>
        <v>76.381444141741596</v>
      </c>
      <c r="J8" s="500">
        <f>65+12.9542608931201</f>
        <v>77.954260893120107</v>
      </c>
      <c r="K8" s="500">
        <f>65+10.7895775986498</f>
        <v>75.789577598649799</v>
      </c>
      <c r="L8" s="500">
        <f>65+11.5771932574715</f>
        <v>76.577193257471492</v>
      </c>
      <c r="M8" s="500">
        <f>65+11.8861387971455</f>
        <v>76.886138797145506</v>
      </c>
      <c r="N8" s="500">
        <f>65+12.4442958591199</f>
        <v>77.444295859119904</v>
      </c>
      <c r="O8" s="721">
        <f>65+11.9031986759347</f>
        <v>76.903198675934703</v>
      </c>
      <c r="P8" s="500">
        <f>65+11.4662442653165</f>
        <v>76.466244265316504</v>
      </c>
      <c r="Q8" s="500">
        <f>65+10.6398578342635</f>
        <v>75.639857834263495</v>
      </c>
      <c r="R8" s="500">
        <f>65+10.7742305587597</f>
        <v>75.774230558759697</v>
      </c>
      <c r="S8" s="500">
        <f>65+10.4372335141714</f>
        <v>75.437233514171396</v>
      </c>
      <c r="T8" s="500">
        <f>65+12.4373802044096</f>
        <v>77.437380204409607</v>
      </c>
      <c r="U8" s="500">
        <f>65+12.7655265908049</f>
        <v>77.765526590804896</v>
      </c>
      <c r="V8" s="500">
        <f>65+14.2851579821874</f>
        <v>79.2851579821874</v>
      </c>
      <c r="W8" s="500">
        <f>65+9.89474314938616</f>
        <v>74.894743149386159</v>
      </c>
      <c r="X8" s="500">
        <f>65+12.2451148820706</f>
        <v>77.245114882070595</v>
      </c>
      <c r="Y8" s="500">
        <f>65+11.1574189417781</f>
        <v>76.157418941778104</v>
      </c>
      <c r="Z8" s="721">
        <f>65+10.8571932574716</f>
        <v>75.857193257471607</v>
      </c>
      <c r="AA8" s="559"/>
      <c r="AC8" s="378"/>
    </row>
    <row r="9" spans="1:29" s="27" customFormat="1" ht="17.25" customHeight="1" x14ac:dyDescent="0.2">
      <c r="A9" s="344" t="s">
        <v>355</v>
      </c>
      <c r="B9" s="503">
        <v>100</v>
      </c>
      <c r="C9" s="356">
        <v>98.435066372544142</v>
      </c>
      <c r="D9" s="232">
        <v>97.26127277066891</v>
      </c>
      <c r="E9" s="232">
        <v>102.5501472639659</v>
      </c>
      <c r="F9" s="232">
        <v>106.01038755506661</v>
      </c>
      <c r="G9" s="232">
        <v>101.3423784029813</v>
      </c>
      <c r="H9" s="232">
        <v>96.055033083742046</v>
      </c>
      <c r="I9" s="232">
        <v>97.826965216850368</v>
      </c>
      <c r="J9" s="232">
        <v>101.16517863856555</v>
      </c>
      <c r="K9" s="232">
        <v>98.289521828260931</v>
      </c>
      <c r="L9" s="232">
        <v>102.22042953903743</v>
      </c>
      <c r="M9" s="232">
        <v>96.423198320172204</v>
      </c>
      <c r="N9" s="232">
        <v>98.349645679648475</v>
      </c>
      <c r="O9" s="238">
        <v>98.756374665537479</v>
      </c>
      <c r="P9" s="232">
        <v>100.45852313068221</v>
      </c>
      <c r="Q9" s="232">
        <v>94.874814075919474</v>
      </c>
      <c r="R9" s="232">
        <v>95.713124017553511</v>
      </c>
      <c r="S9" s="232">
        <v>97.181224898958845</v>
      </c>
      <c r="T9" s="232">
        <v>101.38511030958486</v>
      </c>
      <c r="U9" s="232">
        <v>109.80516750241064</v>
      </c>
      <c r="V9" s="232">
        <v>103.07616672301018</v>
      </c>
      <c r="W9" s="232">
        <v>99.062924396686824</v>
      </c>
      <c r="X9" s="232">
        <v>104.33039262261659</v>
      </c>
      <c r="Y9" s="232">
        <v>100.18227614059242</v>
      </c>
      <c r="Z9" s="238">
        <v>101.45341206201685</v>
      </c>
      <c r="AA9" s="559"/>
      <c r="AC9" s="378"/>
    </row>
    <row r="10" spans="1:29" s="27" customFormat="1" ht="17.25" customHeight="1" x14ac:dyDescent="0.2">
      <c r="A10" s="490" t="s">
        <v>17</v>
      </c>
      <c r="B10" s="241"/>
      <c r="C10" s="491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2"/>
      <c r="W10" s="492"/>
      <c r="X10" s="492"/>
      <c r="Y10" s="492"/>
      <c r="Z10" s="492"/>
      <c r="AA10" s="559"/>
      <c r="AC10" s="378"/>
    </row>
    <row r="11" spans="1:29" s="27" customFormat="1" ht="17.25" customHeight="1" x14ac:dyDescent="0.2">
      <c r="A11" s="511" t="s">
        <v>353</v>
      </c>
      <c r="B11" s="512">
        <v>100</v>
      </c>
      <c r="C11" s="513">
        <v>92.983718953660954</v>
      </c>
      <c r="D11" s="701">
        <v>98.380130053062473</v>
      </c>
      <c r="E11" s="701">
        <v>97.87331059413637</v>
      </c>
      <c r="F11" s="701">
        <v>95.384494351391936</v>
      </c>
      <c r="G11" s="701">
        <v>102.10964339277869</v>
      </c>
      <c r="H11" s="701">
        <v>95.471321541793372</v>
      </c>
      <c r="I11" s="701">
        <v>97.982580631751517</v>
      </c>
      <c r="J11" s="701">
        <v>94.445404405599788</v>
      </c>
      <c r="K11" s="701">
        <v>96.488799224329171</v>
      </c>
      <c r="L11" s="701">
        <v>96.942716822521575</v>
      </c>
      <c r="M11" s="701">
        <v>90.09324388077674</v>
      </c>
      <c r="N11" s="701">
        <v>92.746371132284111</v>
      </c>
      <c r="O11" s="728">
        <v>99.004155498876045</v>
      </c>
      <c r="P11" s="701">
        <v>96.921708111882594</v>
      </c>
      <c r="Q11" s="701">
        <v>96.235536093009003</v>
      </c>
      <c r="R11" s="701">
        <v>98.881342453858394</v>
      </c>
      <c r="S11" s="701">
        <v>94.895231659510898</v>
      </c>
      <c r="T11" s="701">
        <v>98.077754581473485</v>
      </c>
      <c r="U11" s="701">
        <v>100.07825986140831</v>
      </c>
      <c r="V11" s="701">
        <v>91.07425080060969</v>
      </c>
      <c r="W11" s="701">
        <v>95.305277700189478</v>
      </c>
      <c r="X11" s="701">
        <v>97.69867034790623</v>
      </c>
      <c r="Y11" s="701">
        <v>92.162253807850774</v>
      </c>
      <c r="Z11" s="728">
        <v>92.924680999526032</v>
      </c>
      <c r="AA11" s="559"/>
      <c r="AC11" s="378"/>
    </row>
    <row r="12" spans="1:29" s="27" customFormat="1" ht="30" customHeight="1" x14ac:dyDescent="0.2">
      <c r="A12" s="281" t="s">
        <v>168</v>
      </c>
      <c r="B12" s="229">
        <v>100</v>
      </c>
      <c r="C12" s="356">
        <v>93.222740183047861</v>
      </c>
      <c r="D12" s="232">
        <v>100.09838722935756</v>
      </c>
      <c r="E12" s="232">
        <v>96.574456706564675</v>
      </c>
      <c r="F12" s="232">
        <v>94.555297013469996</v>
      </c>
      <c r="G12" s="232">
        <v>104.7833759617963</v>
      </c>
      <c r="H12" s="232">
        <v>96.265615253350958</v>
      </c>
      <c r="I12" s="232">
        <v>93.853530203238705</v>
      </c>
      <c r="J12" s="232">
        <v>95.489471750738659</v>
      </c>
      <c r="K12" s="232">
        <v>98.496648500135905</v>
      </c>
      <c r="L12" s="232">
        <v>96.451449624990957</v>
      </c>
      <c r="M12" s="232">
        <v>89.435664017857519</v>
      </c>
      <c r="N12" s="232">
        <v>93.137472626508242</v>
      </c>
      <c r="O12" s="238">
        <v>102.24062510852723</v>
      </c>
      <c r="P12" s="232">
        <v>97.68512944454865</v>
      </c>
      <c r="Q12" s="232">
        <v>97.2109292818988</v>
      </c>
      <c r="R12" s="232">
        <v>101.30904493900492</v>
      </c>
      <c r="S12" s="232">
        <v>96.306390720942474</v>
      </c>
      <c r="T12" s="232">
        <v>97.813677635126851</v>
      </c>
      <c r="U12" s="232">
        <v>101.10261288638172</v>
      </c>
      <c r="V12" s="232">
        <v>93.592493021245275</v>
      </c>
      <c r="W12" s="232">
        <v>95.867505089081916</v>
      </c>
      <c r="X12" s="232">
        <v>100.89176813230688</v>
      </c>
      <c r="Y12" s="232">
        <v>91.785477266783943</v>
      </c>
      <c r="Z12" s="238">
        <v>91.883887488030396</v>
      </c>
      <c r="AA12" s="559"/>
      <c r="AC12" s="378"/>
    </row>
    <row r="13" spans="1:29" s="27" customFormat="1" ht="17.25" customHeight="1" x14ac:dyDescent="0.2">
      <c r="A13" s="511" t="s">
        <v>169</v>
      </c>
      <c r="B13" s="512">
        <v>100</v>
      </c>
      <c r="C13" s="513">
        <v>94.349676763129963</v>
      </c>
      <c r="D13" s="701">
        <v>102.60232105223338</v>
      </c>
      <c r="E13" s="701">
        <v>104.82157454399137</v>
      </c>
      <c r="F13" s="701">
        <v>97.33694415848943</v>
      </c>
      <c r="G13" s="701">
        <v>102.38021960953643</v>
      </c>
      <c r="H13" s="701">
        <v>96.258494372429396</v>
      </c>
      <c r="I13" s="701">
        <v>97.868523261370882</v>
      </c>
      <c r="J13" s="701">
        <v>94.366174627361701</v>
      </c>
      <c r="K13" s="701">
        <v>97.665086459532702</v>
      </c>
      <c r="L13" s="701">
        <v>99.20308008699908</v>
      </c>
      <c r="M13" s="701">
        <v>92.927862838396493</v>
      </c>
      <c r="N13" s="701">
        <v>94.978297459887173</v>
      </c>
      <c r="O13" s="625">
        <v>101.61311826539848</v>
      </c>
      <c r="P13" s="701">
        <v>97.889218422320113</v>
      </c>
      <c r="Q13" s="701">
        <v>96.224870930310843</v>
      </c>
      <c r="R13" s="701">
        <v>96.604279739661536</v>
      </c>
      <c r="S13" s="701">
        <v>99.774476401176528</v>
      </c>
      <c r="T13" s="701">
        <v>96.128392527660807</v>
      </c>
      <c r="U13" s="701">
        <v>100.34146785279491</v>
      </c>
      <c r="V13" s="701">
        <v>95.548435245419981</v>
      </c>
      <c r="W13" s="701">
        <v>97.156805222542232</v>
      </c>
      <c r="X13" s="701">
        <v>97.855592097852508</v>
      </c>
      <c r="Y13" s="701">
        <v>93.217554517575095</v>
      </c>
      <c r="Z13" s="625">
        <v>94.391207439586225</v>
      </c>
      <c r="AA13" s="559"/>
      <c r="AC13" s="378"/>
    </row>
    <row r="14" spans="1:29" s="27" customFormat="1" ht="17.25" customHeight="1" x14ac:dyDescent="0.2">
      <c r="A14" s="519" t="s">
        <v>352</v>
      </c>
      <c r="B14" s="515">
        <v>100</v>
      </c>
      <c r="C14" s="557">
        <v>93.626659189892791</v>
      </c>
      <c r="D14" s="517">
        <v>100.49122555264792</v>
      </c>
      <c r="E14" s="517">
        <v>100.65261617407837</v>
      </c>
      <c r="F14" s="517">
        <v>96.449466973445112</v>
      </c>
      <c r="G14" s="517">
        <v>102.24493150115757</v>
      </c>
      <c r="H14" s="517">
        <v>95.832109089168213</v>
      </c>
      <c r="I14" s="517">
        <v>97.920367520634784</v>
      </c>
      <c r="J14" s="517">
        <v>94.405789516480738</v>
      </c>
      <c r="K14" s="517">
        <v>97.076942841930943</v>
      </c>
      <c r="L14" s="517">
        <v>97.846862128312566</v>
      </c>
      <c r="M14" s="517">
        <v>91.510553359586623</v>
      </c>
      <c r="N14" s="517">
        <v>93.694939821515419</v>
      </c>
      <c r="O14" s="517">
        <v>100.20829216034795</v>
      </c>
      <c r="P14" s="517">
        <v>97.405463267101354</v>
      </c>
      <c r="Q14" s="517">
        <v>96.231173071905218</v>
      </c>
      <c r="R14" s="517">
        <v>97.830390431921387</v>
      </c>
      <c r="S14" s="517">
        <v>97.147190771048884</v>
      </c>
      <c r="T14" s="517">
        <v>97.427967230202583</v>
      </c>
      <c r="U14" s="517">
        <v>100.18354305796295</v>
      </c>
      <c r="V14" s="517">
        <v>92.565645615546458</v>
      </c>
      <c r="W14" s="517">
        <v>96.231041461365862</v>
      </c>
      <c r="X14" s="517">
        <v>97.76807804499785</v>
      </c>
      <c r="Y14" s="517">
        <v>92.689904162712935</v>
      </c>
      <c r="Z14" s="628">
        <v>93.511291575550118</v>
      </c>
      <c r="AA14" s="559"/>
    </row>
    <row r="15" spans="1:29" s="27" customFormat="1" ht="17.25" customHeight="1" x14ac:dyDescent="0.2">
      <c r="A15" s="533" t="s">
        <v>18</v>
      </c>
      <c r="B15" s="534"/>
      <c r="C15" s="535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559"/>
    </row>
    <row r="16" spans="1:29" s="27" customFormat="1" ht="17.25" customHeight="1" x14ac:dyDescent="0.2">
      <c r="A16" s="348" t="s">
        <v>129</v>
      </c>
      <c r="B16" s="515">
        <v>64.704692993321601</v>
      </c>
      <c r="C16" s="516">
        <v>66.720305453668004</v>
      </c>
      <c r="D16" s="704">
        <v>70.122547297641916</v>
      </c>
      <c r="E16" s="704">
        <v>65.172103964709365</v>
      </c>
      <c r="F16" s="704">
        <v>69.764231190168999</v>
      </c>
      <c r="G16" s="704">
        <v>68.559838965014791</v>
      </c>
      <c r="H16" s="704">
        <v>68.124059611302584</v>
      </c>
      <c r="I16" s="704">
        <v>67.51163467083768</v>
      </c>
      <c r="J16" s="704">
        <v>69.184625973542055</v>
      </c>
      <c r="K16" s="704">
        <v>62.928047297641911</v>
      </c>
      <c r="L16" s="704">
        <v>67.979270631376025</v>
      </c>
      <c r="M16" s="704">
        <v>65.260497072794706</v>
      </c>
      <c r="N16" s="704">
        <v>64.391798740822395</v>
      </c>
      <c r="O16" s="628">
        <v>65.919222126435102</v>
      </c>
      <c r="P16" s="704">
        <v>69.427880630975224</v>
      </c>
      <c r="Q16" s="704">
        <v>70.908083998380405</v>
      </c>
      <c r="R16" s="704">
        <v>63.892367776355883</v>
      </c>
      <c r="S16" s="704">
        <v>68.509068303539252</v>
      </c>
      <c r="T16" s="704">
        <v>66.433007762414405</v>
      </c>
      <c r="U16" s="704">
        <v>68.463770631376022</v>
      </c>
      <c r="V16" s="704">
        <v>72.086452206858851</v>
      </c>
      <c r="W16" s="704">
        <v>71.212505631681452</v>
      </c>
      <c r="X16" s="704">
        <v>63.998744029016997</v>
      </c>
      <c r="Y16" s="704">
        <v>66.640545869878252</v>
      </c>
      <c r="Z16" s="628">
        <v>68.466603964709364</v>
      </c>
      <c r="AA16" s="559"/>
    </row>
    <row r="17" spans="1:73" s="211" customFormat="1" ht="17.25" customHeight="1" x14ac:dyDescent="0.2">
      <c r="A17" s="348" t="s">
        <v>27</v>
      </c>
      <c r="B17" s="512">
        <v>60.745223487986109</v>
      </c>
      <c r="C17" s="513">
        <v>62.812674178306231</v>
      </c>
      <c r="D17" s="708">
        <v>60.867316208022238</v>
      </c>
      <c r="E17" s="708">
        <v>61.860928121543971</v>
      </c>
      <c r="F17" s="708">
        <v>62.200504772773279</v>
      </c>
      <c r="G17" s="708">
        <v>64.871383008582853</v>
      </c>
      <c r="H17" s="708">
        <v>62.761093431377233</v>
      </c>
      <c r="I17" s="708">
        <v>62.038264013030457</v>
      </c>
      <c r="J17" s="708">
        <v>67.860887202042917</v>
      </c>
      <c r="K17" s="708">
        <v>58.311649541355592</v>
      </c>
      <c r="L17" s="708">
        <v>63.406761454877305</v>
      </c>
      <c r="M17" s="708">
        <v>62.173327769071307</v>
      </c>
      <c r="N17" s="708">
        <v>58.754645273122151</v>
      </c>
      <c r="O17" s="727">
        <v>59.941470729476691</v>
      </c>
      <c r="P17" s="708">
        <v>61.299149541355575</v>
      </c>
      <c r="Q17" s="708">
        <v>64.576706576204074</v>
      </c>
      <c r="R17" s="708">
        <v>63.019778169160013</v>
      </c>
      <c r="S17" s="708">
        <v>61.51588739614337</v>
      </c>
      <c r="T17" s="708">
        <v>61.026944928878414</v>
      </c>
      <c r="U17" s="708">
        <v>58.922594788210603</v>
      </c>
      <c r="V17" s="708">
        <v>67.021611595545082</v>
      </c>
      <c r="W17" s="708">
        <v>62.718549675249513</v>
      </c>
      <c r="X17" s="701">
        <v>58.756268022483837</v>
      </c>
      <c r="Y17" s="708">
        <v>62.513417215917563</v>
      </c>
      <c r="Z17" s="727">
        <v>60.362594788210629</v>
      </c>
      <c r="AA17" s="559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</row>
    <row r="18" spans="1:73" s="218" customFormat="1" ht="17.25" customHeight="1" x14ac:dyDescent="0.2">
      <c r="A18" s="519" t="s">
        <v>130</v>
      </c>
      <c r="B18" s="1026">
        <v>6.2097437959579302</v>
      </c>
      <c r="C18" s="504">
        <v>6.5094633201249552</v>
      </c>
      <c r="D18" s="718">
        <v>6.6042216928819695</v>
      </c>
      <c r="E18" s="718">
        <v>6.319923355397302</v>
      </c>
      <c r="F18" s="718">
        <v>6.6742662789374041</v>
      </c>
      <c r="G18" s="718">
        <v>6.7796332988029917</v>
      </c>
      <c r="H18" s="718">
        <v>6.613451686117747</v>
      </c>
      <c r="I18" s="718">
        <v>6.5007602204359252</v>
      </c>
      <c r="J18" s="718">
        <v>7.0393201216657797</v>
      </c>
      <c r="K18" s="718">
        <v>5.9036722178819723</v>
      </c>
      <c r="L18" s="718">
        <v>6.6326864053973011</v>
      </c>
      <c r="M18" s="718">
        <v>6.3487203148880731</v>
      </c>
      <c r="N18" s="718">
        <v>6.0735122302387481</v>
      </c>
      <c r="O18" s="1029">
        <v>6.2528708392121217</v>
      </c>
      <c r="P18" s="718">
        <v>6.58533711788197</v>
      </c>
      <c r="Q18" s="718">
        <v>6.9921692696100912</v>
      </c>
      <c r="R18" s="718">
        <v>6.3112376861853168</v>
      </c>
      <c r="S18" s="718">
        <v>6.5549914689500532</v>
      </c>
      <c r="T18" s="718">
        <v>6.4282827237873015</v>
      </c>
      <c r="U18" s="718">
        <v>6.3453103553972987</v>
      </c>
      <c r="V18" s="718">
        <v>7.2602961437873006</v>
      </c>
      <c r="W18" s="718">
        <v>6.815546323802991</v>
      </c>
      <c r="X18" s="718">
        <v>6.0356091608637676</v>
      </c>
      <c r="Y18" s="718">
        <v>6.4723122477144273</v>
      </c>
      <c r="Z18" s="1029">
        <v>6.4489779303973034</v>
      </c>
      <c r="AA18" s="559"/>
      <c r="AB18" s="27"/>
      <c r="AC18" s="27"/>
      <c r="AD18" s="27"/>
      <c r="AE18" s="27"/>
      <c r="AF18" s="27"/>
      <c r="AG18" s="27"/>
      <c r="AH18" s="27"/>
      <c r="AI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</row>
    <row r="19" spans="1:73" s="211" customFormat="1" ht="17.25" customHeight="1" x14ac:dyDescent="0.2">
      <c r="A19" s="505" t="s">
        <v>15</v>
      </c>
      <c r="B19" s="506"/>
      <c r="C19" s="507"/>
      <c r="D19" s="508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9"/>
      <c r="P19" s="508"/>
      <c r="Q19" s="508"/>
      <c r="R19" s="508"/>
      <c r="S19" s="508"/>
      <c r="T19" s="508"/>
      <c r="U19" s="508"/>
      <c r="V19" s="508"/>
      <c r="W19" s="508"/>
      <c r="X19" s="508"/>
      <c r="Y19" s="510"/>
      <c r="Z19" s="509"/>
      <c r="AA19" s="559"/>
      <c r="AB19" s="27"/>
      <c r="AC19" s="378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</row>
    <row r="20" spans="1:73" s="27" customFormat="1" ht="17.25" customHeight="1" x14ac:dyDescent="0.2">
      <c r="A20" s="493" t="s">
        <v>359</v>
      </c>
      <c r="B20" s="494">
        <v>100</v>
      </c>
      <c r="C20" s="495">
        <v>89.921922151355474</v>
      </c>
      <c r="D20" s="496">
        <v>97.076838615835953</v>
      </c>
      <c r="E20" s="496">
        <v>114.93162151335716</v>
      </c>
      <c r="F20" s="496">
        <v>79.87572701784606</v>
      </c>
      <c r="G20" s="496">
        <v>112.1656287736418</v>
      </c>
      <c r="H20" s="496">
        <v>86.43692701298508</v>
      </c>
      <c r="I20" s="496">
        <v>96.662039035864694</v>
      </c>
      <c r="J20" s="496">
        <v>98.977465390375684</v>
      </c>
      <c r="K20" s="496">
        <v>106.62415505588878</v>
      </c>
      <c r="L20" s="496">
        <v>89.46169385822455</v>
      </c>
      <c r="M20" s="496">
        <v>86.607174105355909</v>
      </c>
      <c r="N20" s="496">
        <v>93.676612733336967</v>
      </c>
      <c r="O20" s="720">
        <v>97.02962505544275</v>
      </c>
      <c r="P20" s="496">
        <v>87.170130558563514</v>
      </c>
      <c r="Q20" s="496">
        <v>86.275298752047419</v>
      </c>
      <c r="R20" s="496">
        <v>84.88260007560514</v>
      </c>
      <c r="S20" s="496">
        <v>77.998491740967992</v>
      </c>
      <c r="T20" s="496">
        <v>87.104099051822402</v>
      </c>
      <c r="U20" s="496">
        <v>99.75904497769227</v>
      </c>
      <c r="V20" s="496">
        <v>78.5203688318513</v>
      </c>
      <c r="W20" s="496">
        <v>86.508192448655365</v>
      </c>
      <c r="X20" s="496">
        <v>99.550740635770453</v>
      </c>
      <c r="Y20" s="496">
        <v>83.911431514723645</v>
      </c>
      <c r="Z20" s="720">
        <v>83.227030585587741</v>
      </c>
      <c r="AA20" s="559"/>
      <c r="AC20" s="378"/>
    </row>
    <row r="21" spans="1:73" s="211" customFormat="1" ht="17.25" customHeight="1" x14ac:dyDescent="0.2">
      <c r="A21" s="511" t="s">
        <v>360</v>
      </c>
      <c r="B21" s="512">
        <v>100</v>
      </c>
      <c r="C21" s="513">
        <v>89.631908708659765</v>
      </c>
      <c r="D21" s="701">
        <v>97.841806796877449</v>
      </c>
      <c r="E21" s="701">
        <v>104.80170283190759</v>
      </c>
      <c r="F21" s="701">
        <v>94.024063611936697</v>
      </c>
      <c r="G21" s="701">
        <v>102.39388013848338</v>
      </c>
      <c r="H21" s="701">
        <v>89.696045373634931</v>
      </c>
      <c r="I21" s="701">
        <v>98.299030091152162</v>
      </c>
      <c r="J21" s="701">
        <v>96.643009748675311</v>
      </c>
      <c r="K21" s="701">
        <v>103.04225303791516</v>
      </c>
      <c r="L21" s="701">
        <v>90.25670475150531</v>
      </c>
      <c r="M21" s="701">
        <v>87.696128313681186</v>
      </c>
      <c r="N21" s="701">
        <v>90.441563727469699</v>
      </c>
      <c r="O21" s="625">
        <v>94.308344208490681</v>
      </c>
      <c r="P21" s="701">
        <v>87.684685232350702</v>
      </c>
      <c r="Q21" s="701">
        <v>86.768543870261297</v>
      </c>
      <c r="R21" s="701">
        <v>85.440914598805321</v>
      </c>
      <c r="S21" s="701">
        <v>83.41136468705605</v>
      </c>
      <c r="T21" s="701">
        <v>88.635180500723891</v>
      </c>
      <c r="U21" s="701">
        <v>100.29563435600846</v>
      </c>
      <c r="V21" s="701">
        <v>85.114045025021312</v>
      </c>
      <c r="W21" s="701">
        <v>89.326281558375896</v>
      </c>
      <c r="X21" s="701">
        <v>97.612069574480785</v>
      </c>
      <c r="Y21" s="701">
        <v>83.68279637983774</v>
      </c>
      <c r="Z21" s="625">
        <v>79.796716289418114</v>
      </c>
      <c r="AA21" s="559"/>
      <c r="AB21" s="27"/>
      <c r="AC21" s="378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</row>
    <row r="22" spans="1:73" s="211" customFormat="1" ht="17.25" customHeight="1" x14ac:dyDescent="0.2">
      <c r="A22" s="511" t="s">
        <v>361</v>
      </c>
      <c r="B22" s="512">
        <v>100</v>
      </c>
      <c r="C22" s="513">
        <v>101.14116720065091</v>
      </c>
      <c r="D22" s="701">
        <v>96.597289440987566</v>
      </c>
      <c r="E22" s="701">
        <v>103.67746893633714</v>
      </c>
      <c r="F22" s="701">
        <v>104.70722916748902</v>
      </c>
      <c r="G22" s="701">
        <v>97.534181735043475</v>
      </c>
      <c r="H22" s="701">
        <v>101.10584850905431</v>
      </c>
      <c r="I22" s="701">
        <v>99.914640837730602</v>
      </c>
      <c r="J22" s="701">
        <v>101.32033417856721</v>
      </c>
      <c r="K22" s="701">
        <v>98.765724247716918</v>
      </c>
      <c r="L22" s="701">
        <v>107.21660135463726</v>
      </c>
      <c r="M22" s="701">
        <v>99.788903625988027</v>
      </c>
      <c r="N22" s="701">
        <v>99.978294958201801</v>
      </c>
      <c r="O22" s="625">
        <v>98.729386056905312</v>
      </c>
      <c r="P22" s="701">
        <v>108.47079222417631</v>
      </c>
      <c r="Q22" s="701">
        <v>103.0452189996556</v>
      </c>
      <c r="R22" s="701">
        <v>103.92611403250385</v>
      </c>
      <c r="S22" s="701">
        <v>106.21313059324551</v>
      </c>
      <c r="T22" s="701">
        <v>103.98848944628223</v>
      </c>
      <c r="U22" s="701">
        <v>114.52845774562098</v>
      </c>
      <c r="V22" s="701">
        <v>108.21076697645844</v>
      </c>
      <c r="W22" s="701">
        <v>106.84699219565144</v>
      </c>
      <c r="X22" s="701">
        <v>106.75410425286573</v>
      </c>
      <c r="Y22" s="701">
        <v>103.51245473144319</v>
      </c>
      <c r="Z22" s="625">
        <v>110.45162401345709</v>
      </c>
      <c r="AA22" s="559"/>
      <c r="AB22" s="27"/>
      <c r="AC22" s="378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</row>
    <row r="23" spans="1:73" s="211" customFormat="1" ht="17.25" customHeight="1" x14ac:dyDescent="0.2">
      <c r="A23" s="511" t="s">
        <v>362</v>
      </c>
      <c r="B23" s="512">
        <v>100</v>
      </c>
      <c r="C23" s="513">
        <v>101.52909674031332</v>
      </c>
      <c r="D23" s="701">
        <v>98.373597694090122</v>
      </c>
      <c r="E23" s="701">
        <v>102.82775755785728</v>
      </c>
      <c r="F23" s="701">
        <v>108.50005308931325</v>
      </c>
      <c r="G23" s="701">
        <v>100.08600483916915</v>
      </c>
      <c r="H23" s="701">
        <v>99.080704827201913</v>
      </c>
      <c r="I23" s="701">
        <v>97.452070492265889</v>
      </c>
      <c r="J23" s="701">
        <v>98.581307016016169</v>
      </c>
      <c r="K23" s="701">
        <v>100.37687871499087</v>
      </c>
      <c r="L23" s="701">
        <v>105.55519759644849</v>
      </c>
      <c r="M23" s="701">
        <v>98.991378152338044</v>
      </c>
      <c r="N23" s="701">
        <v>100.79877795745098</v>
      </c>
      <c r="O23" s="625">
        <v>100.97609870621348</v>
      </c>
      <c r="P23" s="701">
        <v>103.17199716645034</v>
      </c>
      <c r="Q23" s="701">
        <v>94.390372898190051</v>
      </c>
      <c r="R23" s="701">
        <v>98.020511952093258</v>
      </c>
      <c r="S23" s="701">
        <v>101.76949808536726</v>
      </c>
      <c r="T23" s="701">
        <v>106.02124606976523</v>
      </c>
      <c r="U23" s="701">
        <v>109.23013541519546</v>
      </c>
      <c r="V23" s="701">
        <v>101.38753073538447</v>
      </c>
      <c r="W23" s="701">
        <v>102.4479814482717</v>
      </c>
      <c r="X23" s="701">
        <v>106.58672199749574</v>
      </c>
      <c r="Y23" s="701">
        <v>110.19331574855951</v>
      </c>
      <c r="Z23" s="625">
        <v>109.75802703556796</v>
      </c>
      <c r="AA23" s="559"/>
      <c r="AB23" s="27"/>
      <c r="AC23" s="378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</row>
    <row r="24" spans="1:73" s="211" customFormat="1" ht="17.25" customHeight="1" x14ac:dyDescent="0.2">
      <c r="A24" s="511" t="s">
        <v>363</v>
      </c>
      <c r="B24" s="515">
        <v>100</v>
      </c>
      <c r="C24" s="516">
        <v>100.78509147077794</v>
      </c>
      <c r="D24" s="704">
        <v>103.99652470515912</v>
      </c>
      <c r="E24" s="704">
        <v>104.04716810534531</v>
      </c>
      <c r="F24" s="704">
        <v>102.75320207266739</v>
      </c>
      <c r="G24" s="704">
        <v>109.21002100044592</v>
      </c>
      <c r="H24" s="704">
        <v>95.952474517814252</v>
      </c>
      <c r="I24" s="704">
        <v>101.00762600593987</v>
      </c>
      <c r="J24" s="704">
        <v>103.66765873751855</v>
      </c>
      <c r="K24" s="704">
        <v>99.219588434342128</v>
      </c>
      <c r="L24" s="704">
        <v>108.12259625247593</v>
      </c>
      <c r="M24" s="704">
        <v>98.280708036221554</v>
      </c>
      <c r="N24" s="704">
        <v>98.862558001783029</v>
      </c>
      <c r="O24" s="628">
        <v>104.28151950336529</v>
      </c>
      <c r="P24" s="704">
        <v>100.94552111960235</v>
      </c>
      <c r="Q24" s="704">
        <v>100.01277474329052</v>
      </c>
      <c r="R24" s="704">
        <v>97.928453437783347</v>
      </c>
      <c r="S24" s="704">
        <v>102.08191894158176</v>
      </c>
      <c r="T24" s="704">
        <v>104.73992324706985</v>
      </c>
      <c r="U24" s="704">
        <v>107.33200773213093</v>
      </c>
      <c r="V24" s="704">
        <v>102.11761901484135</v>
      </c>
      <c r="W24" s="704">
        <v>106.28150296029469</v>
      </c>
      <c r="X24" s="704">
        <v>103.73439296672194</v>
      </c>
      <c r="Y24" s="704">
        <v>107.16205806055237</v>
      </c>
      <c r="Z24" s="628">
        <v>107.92216535999412</v>
      </c>
      <c r="AA24" s="559"/>
      <c r="AB24" s="27"/>
      <c r="AC24" s="37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</row>
    <row r="25" spans="1:73" s="211" customFormat="1" ht="15" customHeight="1" x14ac:dyDescent="0.2">
      <c r="A25" s="521" t="s">
        <v>30</v>
      </c>
      <c r="B25" s="522"/>
      <c r="C25" s="523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75"/>
      <c r="Z25" s="508"/>
      <c r="AA25" s="559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</row>
    <row r="26" spans="1:73" s="211" customFormat="1" ht="17.25" customHeight="1" x14ac:dyDescent="0.2">
      <c r="A26" s="802" t="s">
        <v>338</v>
      </c>
      <c r="B26" s="494">
        <v>100</v>
      </c>
      <c r="C26" s="495">
        <v>94.817807557109219</v>
      </c>
      <c r="D26" s="496">
        <v>108.20841876835721</v>
      </c>
      <c r="E26" s="496">
        <v>103.67676338364625</v>
      </c>
      <c r="F26" s="496">
        <v>96.938619441042235</v>
      </c>
      <c r="G26" s="496">
        <v>110.54645005895843</v>
      </c>
      <c r="H26" s="496">
        <v>101.35526857173977</v>
      </c>
      <c r="I26" s="496">
        <v>107.55239781678847</v>
      </c>
      <c r="J26" s="496">
        <v>101.9366224256715</v>
      </c>
      <c r="K26" s="496">
        <v>105.97133079887173</v>
      </c>
      <c r="L26" s="496">
        <v>100.18221242997147</v>
      </c>
      <c r="M26" s="496">
        <v>89.050183960414003</v>
      </c>
      <c r="N26" s="496">
        <v>92.367825399828561</v>
      </c>
      <c r="O26" s="720">
        <v>109.48702914402757</v>
      </c>
      <c r="P26" s="496">
        <v>99.859651888772845</v>
      </c>
      <c r="Q26" s="496">
        <v>100.06072327906257</v>
      </c>
      <c r="R26" s="496">
        <v>105.03519219826029</v>
      </c>
      <c r="S26" s="496">
        <v>97.841594778862913</v>
      </c>
      <c r="T26" s="496">
        <v>100.76097032266453</v>
      </c>
      <c r="U26" s="496">
        <v>100.70760635584888</v>
      </c>
      <c r="V26" s="496">
        <v>89.966169185652276</v>
      </c>
      <c r="W26" s="496">
        <v>92.677000164994055</v>
      </c>
      <c r="X26" s="496">
        <v>99.13346416100606</v>
      </c>
      <c r="Y26" s="496">
        <v>89.379137452693911</v>
      </c>
      <c r="Z26" s="720">
        <v>83.386261940753812</v>
      </c>
      <c r="AA26" s="559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</row>
    <row r="27" spans="1:73" s="558" customFormat="1" ht="17.25" customHeight="1" x14ac:dyDescent="0.2">
      <c r="A27" s="885" t="s">
        <v>374</v>
      </c>
      <c r="B27" s="525">
        <f>65+6.88703153392881</f>
        <v>71.887031533928806</v>
      </c>
      <c r="C27" s="499">
        <f>65+5.92163648</f>
        <v>70.921636480000004</v>
      </c>
      <c r="D27" s="500">
        <f>65+4.23435837653055</f>
        <v>69.234358376530551</v>
      </c>
      <c r="E27" s="500">
        <f>65+4.039452653496</f>
        <v>69.039452653495999</v>
      </c>
      <c r="F27" s="500">
        <f>65+6.66620673070275</f>
        <v>71.666206730702754</v>
      </c>
      <c r="G27" s="500">
        <f>65+4.47055572217116</f>
        <v>69.470555722171156</v>
      </c>
      <c r="H27" s="500">
        <f>65+4.65252256378793</f>
        <v>69.652522563787926</v>
      </c>
      <c r="I27" s="500">
        <f>65+4.07639335570023</f>
        <v>69.076393355700233</v>
      </c>
      <c r="J27" s="500">
        <f>65+5.14959921365094</f>
        <v>70.149599213650944</v>
      </c>
      <c r="K27" s="500">
        <f>65+4.68602504326596</f>
        <v>69.686025043265957</v>
      </c>
      <c r="L27" s="500">
        <f>65+5.13723043127379</f>
        <v>70.137230431273792</v>
      </c>
      <c r="M27" s="500">
        <f>65+6.38895234436959</f>
        <v>71.388952344369585</v>
      </c>
      <c r="N27" s="500">
        <f>65+6.11163204587146</f>
        <v>71.11163204587146</v>
      </c>
      <c r="O27" s="721">
        <f>65+4.94254545375082</f>
        <v>69.942545453750824</v>
      </c>
      <c r="P27" s="500">
        <f>65+4.81769170993262</f>
        <v>69.817691709932618</v>
      </c>
      <c r="Q27" s="500">
        <f>65+5.69766512452978</f>
        <v>70.697665124529777</v>
      </c>
      <c r="R27" s="500">
        <f>65+5.56202793345368</f>
        <v>70.562027933453678</v>
      </c>
      <c r="S27" s="500">
        <f>65+6.00383334837785</f>
        <v>71.003833348377853</v>
      </c>
      <c r="T27" s="500">
        <f>65+4.76912975985792</f>
        <v>69.769129759857918</v>
      </c>
      <c r="U27" s="500">
        <f>65+6.33945265349601</f>
        <v>71.339452653496011</v>
      </c>
      <c r="V27" s="500">
        <f>65+9.91996309319121</f>
        <v>74.919963093191214</v>
      </c>
      <c r="W27" s="500">
        <f>65+6.2288890555045</f>
        <v>71.228889055504496</v>
      </c>
      <c r="X27" s="500">
        <f>65+7.75691641548796</f>
        <v>72.756916415487964</v>
      </c>
      <c r="Y27" s="500">
        <f>65+7.30547622864931</f>
        <v>72.305476228649312</v>
      </c>
      <c r="Z27" s="721">
        <f>65+8.729452653496</f>
        <v>73.729452653495997</v>
      </c>
      <c r="AA27" s="638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  <c r="BG27" s="432"/>
      <c r="BH27" s="432"/>
      <c r="BI27" s="432"/>
      <c r="BJ27" s="432"/>
      <c r="BK27" s="432"/>
      <c r="BL27" s="432"/>
      <c r="BM27" s="432"/>
      <c r="BN27" s="432"/>
      <c r="BO27" s="432"/>
      <c r="BP27" s="432"/>
      <c r="BQ27" s="432"/>
      <c r="BR27" s="432"/>
      <c r="BS27" s="432"/>
      <c r="BT27" s="432"/>
      <c r="BU27" s="432"/>
    </row>
    <row r="28" spans="1:73" s="211" customFormat="1" ht="17.25" customHeight="1" x14ac:dyDescent="0.2">
      <c r="A28" s="803" t="s">
        <v>339</v>
      </c>
      <c r="B28" s="512">
        <v>100</v>
      </c>
      <c r="C28" s="513">
        <v>90.807603717600912</v>
      </c>
      <c r="D28" s="701">
        <v>91.103524020555213</v>
      </c>
      <c r="E28" s="701">
        <v>89.425709431968372</v>
      </c>
      <c r="F28" s="701">
        <v>93.154079555068478</v>
      </c>
      <c r="G28" s="701">
        <v>96.394330442732596</v>
      </c>
      <c r="H28" s="701">
        <v>91.965678499995477</v>
      </c>
      <c r="I28" s="701">
        <v>91.479709126086135</v>
      </c>
      <c r="J28" s="701">
        <v>85.959050033805227</v>
      </c>
      <c r="K28" s="701">
        <v>88.148943617587832</v>
      </c>
      <c r="L28" s="701">
        <v>92.68408456777658</v>
      </c>
      <c r="M28" s="701">
        <v>88.377445178516837</v>
      </c>
      <c r="N28" s="701">
        <v>92.916363612306242</v>
      </c>
      <c r="O28" s="625">
        <v>91.013355058466445</v>
      </c>
      <c r="P28" s="701">
        <v>97.830811106988406</v>
      </c>
      <c r="Q28" s="701">
        <v>92.676856760028244</v>
      </c>
      <c r="R28" s="701">
        <v>98.456821403782797</v>
      </c>
      <c r="S28" s="701">
        <v>94.805497524351566</v>
      </c>
      <c r="T28" s="701">
        <v>95.94286847747361</v>
      </c>
      <c r="U28" s="701">
        <v>100.37362380848268</v>
      </c>
      <c r="V28" s="701">
        <v>88.935807636852275</v>
      </c>
      <c r="W28" s="701">
        <v>100.99788039609912</v>
      </c>
      <c r="X28" s="701">
        <v>100.87178076760492</v>
      </c>
      <c r="Y28" s="701">
        <v>94.81948123287377</v>
      </c>
      <c r="Z28" s="625">
        <v>101.95053042234299</v>
      </c>
      <c r="AA28" s="559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</row>
    <row r="29" spans="1:73" s="27" customFormat="1" ht="17.25" customHeight="1" x14ac:dyDescent="0.2">
      <c r="A29" s="915" t="s">
        <v>371</v>
      </c>
      <c r="B29" s="525">
        <f>65+8.19616136642111</f>
        <v>73.196161366421109</v>
      </c>
      <c r="C29" s="499">
        <f>65+9.03590415666434</f>
        <v>74.035904156664344</v>
      </c>
      <c r="D29" s="500">
        <f>65+8.49646927342442</f>
        <v>73.496469273424424</v>
      </c>
      <c r="E29" s="500">
        <f>65+8.45870012624752</f>
        <v>73.458700126247521</v>
      </c>
      <c r="F29" s="500">
        <f>65+11.6399968994121</f>
        <v>76.639996899412097</v>
      </c>
      <c r="G29" s="500">
        <f>65+10.8485344764777</f>
        <v>75.848534476477695</v>
      </c>
      <c r="H29" s="500">
        <f>65+7.60056057298385</f>
        <v>72.600560572983852</v>
      </c>
      <c r="I29" s="500">
        <f>65+8.21470324278508</f>
        <v>73.214703242785077</v>
      </c>
      <c r="J29" s="500">
        <f>65+9.08245846655514</f>
        <v>74.082458466555138</v>
      </c>
      <c r="K29" s="500">
        <f>65+8.42146927342442</f>
        <v>73.421469273424421</v>
      </c>
      <c r="L29" s="500">
        <f>65+8.10314457069198</f>
        <v>73.103144570691981</v>
      </c>
      <c r="M29" s="500">
        <f>65+9.98102791822804</f>
        <v>74.981027918228037</v>
      </c>
      <c r="N29" s="500">
        <f>65+10.1327806612768</f>
        <v>75.132780661276797</v>
      </c>
      <c r="O29" s="721">
        <f>65+9.54189404175177</f>
        <v>74.541894041751775</v>
      </c>
      <c r="P29" s="500">
        <f>65+7.87813594009108</f>
        <v>72.878135940091084</v>
      </c>
      <c r="Q29" s="500">
        <f>65+8.69034820171561</f>
        <v>73.690348201715608</v>
      </c>
      <c r="R29" s="500">
        <f>65+6.56221401705336</f>
        <v>71.562214017053364</v>
      </c>
      <c r="S29" s="500">
        <f>65+7.84487489791354</f>
        <v>72.844874897913542</v>
      </c>
      <c r="T29" s="500">
        <f>65+9.18595090971537</f>
        <v>74.185950909715373</v>
      </c>
      <c r="U29" s="500">
        <f>65+8.3664779040253</f>
        <v>73.366477904025302</v>
      </c>
      <c r="V29" s="500">
        <f>65+10.8659509097154</f>
        <v>75.865950909715394</v>
      </c>
      <c r="W29" s="500">
        <f>65+8.491867809811</f>
        <v>73.491867809810998</v>
      </c>
      <c r="X29" s="500">
        <f>65+7.84419990019222</f>
        <v>72.844199900192223</v>
      </c>
      <c r="Y29" s="500">
        <f>65+8.38269316427791</f>
        <v>73.38269316427791</v>
      </c>
      <c r="Z29" s="721">
        <f>65+7.51647790402531</f>
        <v>72.516477904025308</v>
      </c>
      <c r="AA29" s="559"/>
      <c r="AB29" s="477"/>
      <c r="AC29" s="477"/>
      <c r="AD29" s="477"/>
      <c r="AE29" s="477"/>
      <c r="AF29" s="477"/>
      <c r="AG29" s="477"/>
      <c r="AH29" s="477"/>
      <c r="AI29" s="477"/>
      <c r="AJ29" s="477"/>
      <c r="AK29" s="477"/>
      <c r="AL29" s="477"/>
      <c r="AM29" s="477"/>
      <c r="AN29" s="477"/>
      <c r="AO29" s="477"/>
      <c r="AP29" s="477"/>
      <c r="AQ29" s="477"/>
      <c r="AR29" s="477"/>
      <c r="AS29" s="477"/>
      <c r="AT29" s="477"/>
      <c r="AU29" s="477"/>
      <c r="AV29" s="477"/>
      <c r="AW29" s="477"/>
      <c r="AX29" s="477"/>
    </row>
    <row r="30" spans="1:73" s="211" customFormat="1" ht="17.25" customHeight="1" x14ac:dyDescent="0.2">
      <c r="A30" s="803" t="s">
        <v>340</v>
      </c>
      <c r="B30" s="512">
        <v>100</v>
      </c>
      <c r="C30" s="513">
        <v>96.528872496506651</v>
      </c>
      <c r="D30" s="701">
        <v>92.507282228413985</v>
      </c>
      <c r="E30" s="701">
        <v>99.122348496183363</v>
      </c>
      <c r="F30" s="701">
        <v>99.172064564073537</v>
      </c>
      <c r="G30" s="701">
        <v>98.3497101678837</v>
      </c>
      <c r="H30" s="701">
        <v>95.32601598282632</v>
      </c>
      <c r="I30" s="701">
        <v>95.809986110182265</v>
      </c>
      <c r="J30" s="701">
        <v>93.924642936517145</v>
      </c>
      <c r="K30" s="701">
        <v>94.186260719139909</v>
      </c>
      <c r="L30" s="701">
        <v>100.56476988000675</v>
      </c>
      <c r="M30" s="701">
        <v>97.785925403142485</v>
      </c>
      <c r="N30" s="701">
        <v>97.252163841029201</v>
      </c>
      <c r="O30" s="625">
        <v>94.366598651196014</v>
      </c>
      <c r="P30" s="701">
        <v>96.603758958427832</v>
      </c>
      <c r="Q30" s="701">
        <v>96.878755255849839</v>
      </c>
      <c r="R30" s="701">
        <v>96.587660376418413</v>
      </c>
      <c r="S30" s="701">
        <v>95.165287947555953</v>
      </c>
      <c r="T30" s="701">
        <v>101.25730875690661</v>
      </c>
      <c r="U30" s="701">
        <v>102.12258497453593</v>
      </c>
      <c r="V30" s="701">
        <v>95.230872215292706</v>
      </c>
      <c r="W30" s="701">
        <v>99.774822495101176</v>
      </c>
      <c r="X30" s="701">
        <v>97.419014642918668</v>
      </c>
      <c r="Y30" s="701">
        <v>98.355614341997992</v>
      </c>
      <c r="Z30" s="625">
        <v>102.00334480680657</v>
      </c>
      <c r="AA30" s="559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</row>
    <row r="31" spans="1:73" s="211" customFormat="1" ht="17.25" customHeight="1" x14ac:dyDescent="0.2">
      <c r="A31" s="529" t="s">
        <v>354</v>
      </c>
      <c r="B31" s="530">
        <v>100</v>
      </c>
      <c r="C31" s="590">
        <v>86.832962491009368</v>
      </c>
      <c r="D31" s="706">
        <v>88.646544529696271</v>
      </c>
      <c r="E31" s="706">
        <v>92.461002207225874</v>
      </c>
      <c r="F31" s="706">
        <v>109.2846602765963</v>
      </c>
      <c r="G31" s="706">
        <v>91.93428623023766</v>
      </c>
      <c r="H31" s="706">
        <v>84.932957197185857</v>
      </c>
      <c r="I31" s="706">
        <v>107.38693627363845</v>
      </c>
      <c r="J31" s="706">
        <v>86.445221784957596</v>
      </c>
      <c r="K31" s="706">
        <v>85.475534991929536</v>
      </c>
      <c r="L31" s="706">
        <v>89.99466145562954</v>
      </c>
      <c r="M31" s="706">
        <v>86.387005454403891</v>
      </c>
      <c r="N31" s="706">
        <v>87.968019709482135</v>
      </c>
      <c r="O31" s="722">
        <v>87.581379499772879</v>
      </c>
      <c r="P31" s="706">
        <v>87.897833944390243</v>
      </c>
      <c r="Q31" s="706">
        <v>89.952171977982019</v>
      </c>
      <c r="R31" s="706">
        <v>85.234763775880083</v>
      </c>
      <c r="S31" s="706">
        <v>86.515093401303673</v>
      </c>
      <c r="T31" s="706">
        <v>90.029530525152069</v>
      </c>
      <c r="U31" s="706">
        <v>95.184253453780173</v>
      </c>
      <c r="V31" s="706">
        <v>90.951655694554702</v>
      </c>
      <c r="W31" s="706">
        <v>88.983485688149159</v>
      </c>
      <c r="X31" s="706">
        <v>89.341290989742234</v>
      </c>
      <c r="Y31" s="706">
        <v>88.431608309017378</v>
      </c>
      <c r="Z31" s="722">
        <v>94.303417471067206</v>
      </c>
      <c r="AA31" s="559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</row>
    <row r="32" spans="1:73" s="27" customFormat="1" ht="17.25" customHeight="1" x14ac:dyDescent="0.2">
      <c r="A32" s="533" t="s">
        <v>18</v>
      </c>
      <c r="B32" s="534"/>
      <c r="C32" s="535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492"/>
      <c r="W32" s="492"/>
      <c r="X32" s="492"/>
      <c r="Y32" s="492"/>
      <c r="Z32" s="492"/>
      <c r="AA32" s="559"/>
    </row>
    <row r="33" spans="1:73" s="27" customFormat="1" ht="17.25" customHeight="1" x14ac:dyDescent="0.2">
      <c r="A33" s="539" t="s">
        <v>7</v>
      </c>
      <c r="B33" s="540">
        <v>7.0198940960471443</v>
      </c>
      <c r="C33" s="540">
        <v>6.823051066347265</v>
      </c>
      <c r="D33" s="870" t="s">
        <v>174</v>
      </c>
      <c r="E33" s="969">
        <v>7.1074618236477392</v>
      </c>
      <c r="F33" s="868">
        <v>6.9645503172172276</v>
      </c>
      <c r="G33" s="868">
        <v>7.431284668609984</v>
      </c>
      <c r="H33" s="541">
        <v>6.856077382712626</v>
      </c>
      <c r="I33" s="969" t="s">
        <v>146</v>
      </c>
      <c r="J33" s="554">
        <v>7.0450819467996038</v>
      </c>
      <c r="K33" s="969" t="s">
        <v>357</v>
      </c>
      <c r="L33" s="868">
        <v>6.8574618236477383</v>
      </c>
      <c r="M33" s="541">
        <v>6.690393934951179</v>
      </c>
      <c r="N33" s="541">
        <v>6.6852193932937514</v>
      </c>
      <c r="O33" s="553">
        <v>7.0607516829562709</v>
      </c>
      <c r="P33" s="868" t="s">
        <v>146</v>
      </c>
      <c r="Q33" s="541">
        <v>6.6915320812931469</v>
      </c>
      <c r="R33" s="541">
        <v>6.9307494226622692</v>
      </c>
      <c r="S33" s="541">
        <v>6.7036088274511449</v>
      </c>
      <c r="T33" s="541">
        <v>6.9031300666407729</v>
      </c>
      <c r="U33" s="868">
        <v>7.10746182364774</v>
      </c>
      <c r="V33" s="541">
        <v>7.2156300666407729</v>
      </c>
      <c r="W33" s="868">
        <v>7.0979513531097078</v>
      </c>
      <c r="X33" s="541">
        <v>6.9883740768438818</v>
      </c>
      <c r="Y33" s="541">
        <v>6.8384826739791684</v>
      </c>
      <c r="Z33" s="871">
        <v>6.8157951569810722</v>
      </c>
      <c r="AA33" s="559"/>
    </row>
    <row r="34" spans="1:73" s="27" customFormat="1" ht="17.25" customHeight="1" x14ac:dyDescent="0.2">
      <c r="A34" s="533" t="s">
        <v>19</v>
      </c>
      <c r="B34" s="534"/>
      <c r="C34" s="534"/>
      <c r="D34" s="534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729"/>
      <c r="P34" s="536"/>
      <c r="Q34" s="536"/>
      <c r="R34" s="536"/>
      <c r="S34" s="536"/>
      <c r="T34" s="536"/>
      <c r="U34" s="536"/>
      <c r="V34" s="536"/>
      <c r="W34" s="536"/>
      <c r="X34" s="536"/>
      <c r="Y34" s="536"/>
      <c r="Z34" s="729"/>
      <c r="AA34" s="559"/>
    </row>
    <row r="35" spans="1:73" s="27" customFormat="1" ht="17.25" customHeight="1" x14ac:dyDescent="0.2">
      <c r="A35" s="543" t="s">
        <v>8</v>
      </c>
      <c r="B35" s="544">
        <v>6.1385366578673457</v>
      </c>
      <c r="C35" s="379">
        <v>6.2595348837209297</v>
      </c>
      <c r="D35" s="711">
        <v>8.0790697674418599</v>
      </c>
      <c r="E35" s="546">
        <v>5.81860465116279</v>
      </c>
      <c r="F35" s="600">
        <v>8.0185430463576157</v>
      </c>
      <c r="G35" s="600">
        <v>3.4</v>
      </c>
      <c r="H35" s="545">
        <v>7.9395348837209303</v>
      </c>
      <c r="I35" s="546">
        <v>7.8486754966887418</v>
      </c>
      <c r="J35" s="546">
        <v>7.4930232558139531</v>
      </c>
      <c r="K35" s="546">
        <v>7.3534883720930235</v>
      </c>
      <c r="L35" s="600">
        <v>5.344186046511628</v>
      </c>
      <c r="M35" s="545">
        <v>6.0697674418604652</v>
      </c>
      <c r="N35" s="545">
        <v>5.5953488372093023</v>
      </c>
      <c r="O35" s="730">
        <v>7.409302325581395</v>
      </c>
      <c r="P35" s="600">
        <v>5.0093023255813947</v>
      </c>
      <c r="Q35" s="600">
        <v>7.9395348837209303</v>
      </c>
      <c r="R35" s="545">
        <v>5.9860465116279062</v>
      </c>
      <c r="S35" s="600">
        <v>7.8837209302325579</v>
      </c>
      <c r="T35" s="600">
        <v>3.7</v>
      </c>
      <c r="U35" s="545">
        <v>6.3209302325581396</v>
      </c>
      <c r="V35" s="600">
        <v>7.8279069767441865</v>
      </c>
      <c r="W35" s="600">
        <v>7.5488372093023255</v>
      </c>
      <c r="X35" s="545">
        <v>4.1441860465116287</v>
      </c>
      <c r="Y35" s="545">
        <v>4.2</v>
      </c>
      <c r="Z35" s="730">
        <v>5.5674418604651166</v>
      </c>
      <c r="AA35" s="559"/>
    </row>
    <row r="36" spans="1:73" s="27" customFormat="1" ht="17.25" customHeight="1" x14ac:dyDescent="0.2">
      <c r="A36" s="547" t="s">
        <v>9</v>
      </c>
      <c r="B36" s="548">
        <v>6.6204545454545434</v>
      </c>
      <c r="C36" s="379">
        <v>5.31</v>
      </c>
      <c r="D36" s="786" t="s">
        <v>324</v>
      </c>
      <c r="E36" s="860" t="s">
        <v>348</v>
      </c>
      <c r="F36" s="500" t="s">
        <v>349</v>
      </c>
      <c r="G36" s="549" t="s">
        <v>350</v>
      </c>
      <c r="H36" s="500">
        <v>6.55</v>
      </c>
      <c r="I36" s="502">
        <v>5.55</v>
      </c>
      <c r="J36" s="502">
        <v>4.05</v>
      </c>
      <c r="K36" s="502" t="s">
        <v>351</v>
      </c>
      <c r="L36" s="855" t="s">
        <v>174</v>
      </c>
      <c r="M36" s="500">
        <v>5.3</v>
      </c>
      <c r="N36" s="500">
        <v>5.3</v>
      </c>
      <c r="O36" s="645">
        <v>3.9</v>
      </c>
      <c r="P36" s="500" t="s">
        <v>155</v>
      </c>
      <c r="Q36" s="500">
        <v>4.8</v>
      </c>
      <c r="R36" s="500">
        <v>6.3</v>
      </c>
      <c r="S36" s="500">
        <v>5.3</v>
      </c>
      <c r="T36" s="549">
        <v>5.3</v>
      </c>
      <c r="U36" s="855" t="s">
        <v>172</v>
      </c>
      <c r="V36" s="549">
        <v>4.3</v>
      </c>
      <c r="W36" s="549" t="s">
        <v>155</v>
      </c>
      <c r="X36" s="500">
        <v>2.8</v>
      </c>
      <c r="Y36" s="549">
        <v>5.35</v>
      </c>
      <c r="Z36" s="862" t="s">
        <v>133</v>
      </c>
      <c r="AA36" s="559"/>
    </row>
    <row r="37" spans="1:73" s="27" customFormat="1" ht="17.25" customHeight="1" x14ac:dyDescent="0.2">
      <c r="A37" s="539" t="s">
        <v>10</v>
      </c>
      <c r="B37" s="551">
        <v>7.0363636363636353</v>
      </c>
      <c r="C37" s="381">
        <v>6.57</v>
      </c>
      <c r="D37" s="552">
        <v>7.55</v>
      </c>
      <c r="E37" s="554">
        <v>7.9</v>
      </c>
      <c r="F37" s="541">
        <v>7.55</v>
      </c>
      <c r="G37" s="594" t="s">
        <v>170</v>
      </c>
      <c r="H37" s="541">
        <v>7.1</v>
      </c>
      <c r="I37" s="554" t="s">
        <v>167</v>
      </c>
      <c r="J37" s="554">
        <v>6.75</v>
      </c>
      <c r="K37" s="554">
        <v>7.9</v>
      </c>
      <c r="L37" s="541">
        <v>7.15</v>
      </c>
      <c r="M37" s="541">
        <v>5.5</v>
      </c>
      <c r="N37" s="541">
        <v>6.15</v>
      </c>
      <c r="O37" s="553">
        <v>8.1</v>
      </c>
      <c r="P37" s="541">
        <v>7</v>
      </c>
      <c r="Q37" s="541">
        <v>7.4</v>
      </c>
      <c r="R37" s="594">
        <v>7.8</v>
      </c>
      <c r="S37" s="541">
        <v>6.9</v>
      </c>
      <c r="T37" s="861" t="s">
        <v>6</v>
      </c>
      <c r="U37" s="541">
        <v>7.4</v>
      </c>
      <c r="V37" s="861" t="s">
        <v>6</v>
      </c>
      <c r="W37" s="594" t="s">
        <v>167</v>
      </c>
      <c r="X37" s="541">
        <v>8.3000000000000007</v>
      </c>
      <c r="Y37" s="541">
        <v>7.35</v>
      </c>
      <c r="Z37" s="553">
        <v>7.95</v>
      </c>
      <c r="AA37" s="559"/>
    </row>
    <row r="38" spans="1:73" s="27" customFormat="1" ht="11.25" customHeight="1" x14ac:dyDescent="0.2">
      <c r="A38" s="592"/>
      <c r="B38" s="593"/>
      <c r="C38" s="745"/>
      <c r="D38" s="746"/>
      <c r="E38" s="508"/>
      <c r="F38" s="508"/>
      <c r="G38" s="508"/>
      <c r="H38" s="75"/>
      <c r="I38" s="508"/>
      <c r="J38" s="508"/>
      <c r="K38" s="508"/>
      <c r="L38" s="508"/>
      <c r="M38" s="508"/>
      <c r="N38" s="508"/>
      <c r="O38" s="578"/>
      <c r="P38" s="508"/>
      <c r="Q38" s="508"/>
      <c r="R38" s="508"/>
      <c r="S38" s="508"/>
      <c r="T38" s="508"/>
      <c r="U38" s="508"/>
      <c r="V38" s="508"/>
      <c r="W38" s="508"/>
      <c r="X38" s="508"/>
      <c r="Y38" s="579"/>
      <c r="Z38" s="578"/>
      <c r="AA38" s="559"/>
    </row>
    <row r="39" spans="1:73" s="27" customFormat="1" ht="15" customHeight="1" x14ac:dyDescent="0.2">
      <c r="A39" s="312" t="s">
        <v>11</v>
      </c>
      <c r="B39" s="244" t="s">
        <v>6</v>
      </c>
      <c r="C39" s="244" t="s">
        <v>6</v>
      </c>
      <c r="D39" s="792">
        <v>2019</v>
      </c>
      <c r="E39" s="246">
        <v>2018</v>
      </c>
      <c r="F39" s="791" t="s">
        <v>6</v>
      </c>
      <c r="G39" s="791" t="s">
        <v>6</v>
      </c>
      <c r="H39" s="246">
        <v>2010</v>
      </c>
      <c r="I39" s="791">
        <v>2019</v>
      </c>
      <c r="J39" s="723">
        <v>2001</v>
      </c>
      <c r="K39" s="859">
        <v>2019</v>
      </c>
      <c r="L39" s="246">
        <v>2018</v>
      </c>
      <c r="M39" s="74">
        <v>2000</v>
      </c>
      <c r="N39" s="74">
        <v>2009</v>
      </c>
      <c r="O39" s="108">
        <v>2015</v>
      </c>
      <c r="P39" s="791">
        <v>2019</v>
      </c>
      <c r="Q39" s="246">
        <v>2015</v>
      </c>
      <c r="R39" s="246">
        <v>2012</v>
      </c>
      <c r="S39" s="246">
        <v>2015</v>
      </c>
      <c r="T39" s="246">
        <v>2017</v>
      </c>
      <c r="U39" s="246">
        <v>2018</v>
      </c>
      <c r="V39" s="246">
        <v>2017</v>
      </c>
      <c r="W39" s="791" t="s">
        <v>6</v>
      </c>
      <c r="X39" s="74">
        <v>2009</v>
      </c>
      <c r="Y39" s="74">
        <v>1998</v>
      </c>
      <c r="Z39" s="508">
        <v>2018</v>
      </c>
      <c r="AA39" s="559"/>
    </row>
    <row r="40" spans="1:73" s="211" customFormat="1" ht="16.5" customHeight="1" x14ac:dyDescent="0.2">
      <c r="A40" s="561" t="s">
        <v>12</v>
      </c>
      <c r="B40" s="562"/>
      <c r="C40" s="563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565"/>
      <c r="P40" s="108"/>
      <c r="Q40" s="108"/>
      <c r="R40" s="108"/>
      <c r="S40" s="108"/>
      <c r="T40" s="108"/>
      <c r="U40" s="108"/>
      <c r="V40" s="108"/>
      <c r="W40" s="108"/>
      <c r="X40" s="508"/>
      <c r="Y40" s="566"/>
      <c r="Z40" s="565"/>
      <c r="AA40" s="559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</row>
    <row r="41" spans="1:73" s="211" customFormat="1" ht="16.5" customHeight="1" x14ac:dyDescent="0.2">
      <c r="A41" s="543" t="s">
        <v>33</v>
      </c>
      <c r="B41" s="567" t="s">
        <v>6</v>
      </c>
      <c r="C41" s="568" t="s">
        <v>6</v>
      </c>
      <c r="D41" s="570">
        <v>6</v>
      </c>
      <c r="E41" s="570">
        <v>9</v>
      </c>
      <c r="F41" s="570">
        <v>5</v>
      </c>
      <c r="G41" s="570">
        <v>6</v>
      </c>
      <c r="H41" s="570">
        <v>13</v>
      </c>
      <c r="I41" s="570">
        <v>5</v>
      </c>
      <c r="J41" s="570">
        <v>10</v>
      </c>
      <c r="K41" s="570">
        <v>6</v>
      </c>
      <c r="L41" s="570">
        <v>9</v>
      </c>
      <c r="M41" s="570">
        <v>11</v>
      </c>
      <c r="N41" s="570">
        <v>23</v>
      </c>
      <c r="O41" s="642">
        <v>14</v>
      </c>
      <c r="P41" s="570">
        <v>6</v>
      </c>
      <c r="Q41" s="570">
        <v>13</v>
      </c>
      <c r="R41" s="570">
        <v>14</v>
      </c>
      <c r="S41" s="570">
        <v>14</v>
      </c>
      <c r="T41" s="570">
        <v>12</v>
      </c>
      <c r="U41" s="570">
        <v>9</v>
      </c>
      <c r="V41" s="570">
        <v>12</v>
      </c>
      <c r="W41" s="570">
        <v>6</v>
      </c>
      <c r="X41" s="571">
        <v>29</v>
      </c>
      <c r="Y41" s="570">
        <v>10</v>
      </c>
      <c r="Z41" s="642">
        <v>9</v>
      </c>
      <c r="AA41" s="559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</row>
    <row r="42" spans="1:73" s="211" customFormat="1" ht="16.5" customHeight="1" x14ac:dyDescent="0.2">
      <c r="A42" s="547" t="s">
        <v>34</v>
      </c>
      <c r="B42" s="572" t="s">
        <v>6</v>
      </c>
      <c r="C42" s="573" t="s">
        <v>6</v>
      </c>
      <c r="D42" s="575">
        <v>6</v>
      </c>
      <c r="E42" s="575">
        <v>6</v>
      </c>
      <c r="F42" s="575">
        <v>6</v>
      </c>
      <c r="G42" s="575">
        <v>6</v>
      </c>
      <c r="H42" s="575">
        <v>12</v>
      </c>
      <c r="I42" s="575">
        <v>6</v>
      </c>
      <c r="J42" s="575">
        <v>10</v>
      </c>
      <c r="K42" s="575">
        <v>6</v>
      </c>
      <c r="L42" s="575">
        <v>6</v>
      </c>
      <c r="M42" s="575">
        <v>11</v>
      </c>
      <c r="N42" s="575">
        <v>20</v>
      </c>
      <c r="O42" s="643">
        <v>13</v>
      </c>
      <c r="P42" s="575">
        <v>6</v>
      </c>
      <c r="Q42" s="575">
        <v>12</v>
      </c>
      <c r="R42" s="575">
        <v>12</v>
      </c>
      <c r="S42" s="575">
        <v>13</v>
      </c>
      <c r="T42" s="575">
        <v>9</v>
      </c>
      <c r="U42" s="575">
        <v>6</v>
      </c>
      <c r="V42" s="575">
        <v>9</v>
      </c>
      <c r="W42" s="575">
        <v>6</v>
      </c>
      <c r="X42" s="575">
        <v>26</v>
      </c>
      <c r="Y42" s="575">
        <v>10</v>
      </c>
      <c r="Z42" s="643">
        <v>6</v>
      </c>
      <c r="AA42" s="559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</row>
    <row r="43" spans="1:73" s="211" customFormat="1" ht="16.5" customHeight="1" thickBot="1" x14ac:dyDescent="0.25">
      <c r="A43" s="582" t="s">
        <v>35</v>
      </c>
      <c r="B43" s="583" t="s">
        <v>6</v>
      </c>
      <c r="C43" s="584" t="s">
        <v>6</v>
      </c>
      <c r="D43" s="585">
        <v>6</v>
      </c>
      <c r="E43" s="585">
        <v>6</v>
      </c>
      <c r="F43" s="585">
        <v>6</v>
      </c>
      <c r="G43" s="585">
        <v>6</v>
      </c>
      <c r="H43" s="585">
        <v>11</v>
      </c>
      <c r="I43" s="585">
        <v>6</v>
      </c>
      <c r="J43" s="585">
        <v>10</v>
      </c>
      <c r="K43" s="585">
        <v>6</v>
      </c>
      <c r="L43" s="585">
        <v>6</v>
      </c>
      <c r="M43" s="585">
        <v>11</v>
      </c>
      <c r="N43" s="585">
        <v>17</v>
      </c>
      <c r="O43" s="644">
        <v>12</v>
      </c>
      <c r="P43" s="585">
        <v>6</v>
      </c>
      <c r="Q43" s="585">
        <v>9</v>
      </c>
      <c r="R43" s="585">
        <v>12</v>
      </c>
      <c r="S43" s="585">
        <v>12</v>
      </c>
      <c r="T43" s="585">
        <v>6</v>
      </c>
      <c r="U43" s="585">
        <v>6</v>
      </c>
      <c r="V43" s="585">
        <v>6</v>
      </c>
      <c r="W43" s="585">
        <v>6</v>
      </c>
      <c r="X43" s="585">
        <v>23</v>
      </c>
      <c r="Y43" s="585">
        <v>10</v>
      </c>
      <c r="Z43" s="644">
        <v>6</v>
      </c>
      <c r="AA43" s="559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</row>
    <row r="44" spans="1:73" s="9" customFormat="1" x14ac:dyDescent="0.2">
      <c r="A44" s="6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s="9" customFormat="1" x14ac:dyDescent="0.2">
      <c r="A45" s="9" t="s">
        <v>89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x14ac:dyDescent="0.2">
      <c r="A46" s="1" t="s">
        <v>83</v>
      </c>
      <c r="B46" s="2"/>
      <c r="C46" s="2"/>
      <c r="O46" s="106"/>
      <c r="X46" s="106"/>
      <c r="Y46" s="106"/>
      <c r="Z46" s="106"/>
    </row>
    <row r="47" spans="1:73" x14ac:dyDescent="0.2">
      <c r="A47" s="1" t="s">
        <v>87</v>
      </c>
      <c r="B47" s="2"/>
      <c r="C47" s="2"/>
      <c r="O47" s="106"/>
      <c r="X47" s="106"/>
      <c r="Y47" s="106"/>
      <c r="Z47" s="106"/>
    </row>
    <row r="48" spans="1:73" x14ac:dyDescent="0.2">
      <c r="A48" s="1" t="s">
        <v>72</v>
      </c>
      <c r="B48" s="2"/>
      <c r="C48" s="2"/>
      <c r="O48" s="106"/>
      <c r="R48" s="106"/>
      <c r="X48" s="106"/>
      <c r="Y48" s="106"/>
      <c r="Z48" s="106"/>
    </row>
    <row r="49" spans="1:26" x14ac:dyDescent="0.2">
      <c r="A49" s="1" t="s">
        <v>73</v>
      </c>
      <c r="B49" s="2"/>
      <c r="C49" s="2"/>
      <c r="O49" s="106"/>
      <c r="R49" s="106"/>
      <c r="X49" s="106"/>
      <c r="Y49" s="106"/>
      <c r="Z49" s="106"/>
    </row>
    <row r="50" spans="1:26" x14ac:dyDescent="0.2">
      <c r="A50" s="6" t="s">
        <v>75</v>
      </c>
      <c r="B50" s="111"/>
      <c r="C50" s="111"/>
    </row>
    <row r="51" spans="1:26" x14ac:dyDescent="0.2">
      <c r="A51" s="169" t="s">
        <v>143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1"/>
  <sheetViews>
    <sheetView topLeftCell="A19" zoomScale="106" zoomScaleNormal="106" workbookViewId="0">
      <selection activeCell="M20" sqref="M20"/>
    </sheetView>
  </sheetViews>
  <sheetFormatPr defaultColWidth="9.140625" defaultRowHeight="12.75" x14ac:dyDescent="0.2"/>
  <cols>
    <col min="1" max="1" width="44.7109375" style="6" customWidth="1"/>
    <col min="2" max="3" width="9.7109375" style="110" customWidth="1"/>
    <col min="4" max="4" width="8" style="110" customWidth="1"/>
    <col min="5" max="5" width="7.140625" style="110" customWidth="1"/>
    <col min="6" max="21" width="7.85546875" style="110" customWidth="1"/>
    <col min="22" max="22" width="6.28515625" style="6" customWidth="1"/>
    <col min="23" max="16384" width="9.140625" style="6"/>
  </cols>
  <sheetData>
    <row r="1" spans="1:22" ht="17.25" customHeight="1" x14ac:dyDescent="0.25">
      <c r="A1" s="48" t="s">
        <v>192</v>
      </c>
      <c r="B1" s="112"/>
      <c r="C1" s="112"/>
      <c r="D1" s="112"/>
      <c r="E1" s="4"/>
      <c r="F1" s="4"/>
      <c r="G1" s="3"/>
      <c r="H1" s="4"/>
      <c r="I1" s="3"/>
      <c r="J1" s="4"/>
      <c r="K1" s="3"/>
      <c r="L1" s="3"/>
      <c r="M1" s="4"/>
      <c r="N1" s="4"/>
      <c r="O1" s="4"/>
      <c r="Q1" s="4"/>
      <c r="R1" s="3"/>
      <c r="S1" s="3"/>
    </row>
    <row r="2" spans="1:22" ht="11.25" customHeight="1" thickBot="1" x14ac:dyDescent="0.3">
      <c r="A2" s="49"/>
      <c r="B2" s="112"/>
      <c r="C2" s="112"/>
      <c r="D2" s="112"/>
      <c r="E2" s="4"/>
      <c r="F2" s="3"/>
      <c r="G2" s="4"/>
      <c r="H2" s="4"/>
      <c r="I2" s="4"/>
      <c r="J2" s="4"/>
      <c r="K2" s="4"/>
      <c r="L2" s="4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84" customHeight="1" x14ac:dyDescent="0.2">
      <c r="A3" s="872"/>
      <c r="B3" s="59" t="s">
        <v>186</v>
      </c>
      <c r="C3" s="59" t="s">
        <v>187</v>
      </c>
      <c r="D3" s="873" t="s">
        <v>250</v>
      </c>
      <c r="E3" s="874" t="s">
        <v>251</v>
      </c>
      <c r="F3" s="876" t="s">
        <v>272</v>
      </c>
      <c r="G3" s="874" t="s">
        <v>253</v>
      </c>
      <c r="H3" s="874" t="s">
        <v>252</v>
      </c>
      <c r="I3" s="874" t="s">
        <v>255</v>
      </c>
      <c r="J3" s="874" t="s">
        <v>254</v>
      </c>
      <c r="K3" s="875" t="s">
        <v>256</v>
      </c>
      <c r="L3" s="874" t="s">
        <v>257</v>
      </c>
      <c r="M3" s="876" t="s">
        <v>258</v>
      </c>
      <c r="N3" s="876" t="s">
        <v>259</v>
      </c>
      <c r="O3" s="875" t="s">
        <v>260</v>
      </c>
      <c r="P3" s="875" t="s">
        <v>262</v>
      </c>
      <c r="Q3" s="876" t="s">
        <v>263</v>
      </c>
      <c r="R3" s="876" t="s">
        <v>261</v>
      </c>
      <c r="S3" s="876" t="s">
        <v>264</v>
      </c>
      <c r="T3" s="875" t="s">
        <v>265</v>
      </c>
      <c r="U3" s="874" t="s">
        <v>266</v>
      </c>
      <c r="V3" s="1060"/>
    </row>
    <row r="4" spans="1:22" ht="30.75" customHeight="1" x14ac:dyDescent="0.2">
      <c r="A4" s="50" t="s">
        <v>31</v>
      </c>
      <c r="B4" s="877" t="s">
        <v>6</v>
      </c>
      <c r="C4" s="877" t="s">
        <v>6</v>
      </c>
      <c r="D4" s="878" t="s">
        <v>4</v>
      </c>
      <c r="E4" s="790" t="s">
        <v>5</v>
      </c>
      <c r="F4" s="790" t="s">
        <v>3</v>
      </c>
      <c r="G4" s="790" t="s">
        <v>2</v>
      </c>
      <c r="H4" s="790" t="s">
        <v>3</v>
      </c>
      <c r="I4" s="790" t="s">
        <v>4</v>
      </c>
      <c r="J4" s="790" t="s">
        <v>3</v>
      </c>
      <c r="K4" s="790" t="s">
        <v>2</v>
      </c>
      <c r="L4" s="790" t="s">
        <v>2</v>
      </c>
      <c r="M4" s="790" t="s">
        <v>3</v>
      </c>
      <c r="N4" s="790" t="s">
        <v>2</v>
      </c>
      <c r="O4" s="790" t="s">
        <v>2</v>
      </c>
      <c r="P4" s="790" t="s">
        <v>3</v>
      </c>
      <c r="Q4" s="790" t="s">
        <v>3</v>
      </c>
      <c r="R4" s="790" t="s">
        <v>2</v>
      </c>
      <c r="S4" s="790" t="s">
        <v>5</v>
      </c>
      <c r="T4" s="790" t="s">
        <v>4</v>
      </c>
      <c r="U4" s="1148" t="s">
        <v>3</v>
      </c>
      <c r="V4" s="1060"/>
    </row>
    <row r="5" spans="1:22" s="27" customFormat="1" ht="16.5" customHeight="1" x14ac:dyDescent="0.2">
      <c r="A5" s="588" t="s">
        <v>13</v>
      </c>
      <c r="B5" s="879" t="s">
        <v>6</v>
      </c>
      <c r="C5" s="879" t="s">
        <v>6</v>
      </c>
      <c r="D5" s="880">
        <v>152.67099999999999</v>
      </c>
      <c r="E5" s="880">
        <v>153.65600000000001</v>
      </c>
      <c r="F5" s="880">
        <v>153.917</v>
      </c>
      <c r="G5" s="880">
        <v>154.28399999999999</v>
      </c>
      <c r="H5" s="880">
        <v>154.32499999999999</v>
      </c>
      <c r="I5" s="880">
        <v>155.036</v>
      </c>
      <c r="J5" s="880">
        <v>155.041</v>
      </c>
      <c r="K5" s="880">
        <v>155.876</v>
      </c>
      <c r="L5" s="880">
        <v>156.85599999999999</v>
      </c>
      <c r="M5" s="880">
        <v>157.17500000000001</v>
      </c>
      <c r="N5" s="880">
        <v>157.64699999999999</v>
      </c>
      <c r="O5" s="880">
        <v>158.21899999999999</v>
      </c>
      <c r="P5" s="880">
        <v>158.46199999999999</v>
      </c>
      <c r="Q5" s="880">
        <v>158.483</v>
      </c>
      <c r="R5" s="880">
        <v>158.584</v>
      </c>
      <c r="S5" s="880">
        <v>158.65300000000002</v>
      </c>
      <c r="T5" s="880">
        <v>160.30099999999999</v>
      </c>
      <c r="U5" s="1149">
        <v>161.79599999999999</v>
      </c>
      <c r="V5" s="559"/>
    </row>
    <row r="6" spans="1:22" s="27" customFormat="1" ht="16.5" customHeight="1" x14ac:dyDescent="0.2">
      <c r="A6" s="1022" t="s">
        <v>16</v>
      </c>
      <c r="B6" s="1023"/>
      <c r="C6" s="1023"/>
      <c r="D6" s="1024"/>
      <c r="E6" s="1024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24"/>
      <c r="U6" s="1024"/>
      <c r="V6" s="559"/>
    </row>
    <row r="7" spans="1:22" s="27" customFormat="1" ht="16.5" customHeight="1" x14ac:dyDescent="0.2">
      <c r="A7" s="802" t="s">
        <v>356</v>
      </c>
      <c r="B7" s="881">
        <v>100</v>
      </c>
      <c r="C7" s="882">
        <v>102.59011805342102</v>
      </c>
      <c r="D7" s="884">
        <v>102.74927196539487</v>
      </c>
      <c r="E7" s="883">
        <v>101.39096216082916</v>
      </c>
      <c r="F7" s="883">
        <v>104.70388804899336</v>
      </c>
      <c r="G7" s="883">
        <v>103.76891583610907</v>
      </c>
      <c r="H7" s="883">
        <v>104.07752170374026</v>
      </c>
      <c r="I7" s="883">
        <v>98.731775500023645</v>
      </c>
      <c r="J7" s="883">
        <v>101.44430518365635</v>
      </c>
      <c r="K7" s="883">
        <v>101.318642066462</v>
      </c>
      <c r="L7" s="883">
        <v>106.26229292365623</v>
      </c>
      <c r="M7" s="883">
        <v>106.04088365048571</v>
      </c>
      <c r="N7" s="883">
        <v>102.39786395747602</v>
      </c>
      <c r="O7" s="883">
        <v>99.202875483401698</v>
      </c>
      <c r="P7" s="883">
        <v>99.643788374568175</v>
      </c>
      <c r="Q7" s="883">
        <v>104.9802462834472</v>
      </c>
      <c r="R7" s="883">
        <v>98.813382004408865</v>
      </c>
      <c r="S7" s="883">
        <v>103.72488275704143</v>
      </c>
      <c r="T7" s="883">
        <v>102.90252166376831</v>
      </c>
      <c r="U7" s="1150">
        <v>103.68907171262734</v>
      </c>
      <c r="V7" s="559"/>
    </row>
    <row r="8" spans="1:22" s="27" customFormat="1" ht="16.5" customHeight="1" x14ac:dyDescent="0.2">
      <c r="A8" s="885" t="s">
        <v>373</v>
      </c>
      <c r="B8" s="886">
        <f>65+12.1948785603773</f>
        <v>77.194878560377305</v>
      </c>
      <c r="C8" s="887">
        <f>65+12.5347155590518</f>
        <v>77.534715559051804</v>
      </c>
      <c r="D8" s="888">
        <f>65+12.8651579821874</f>
        <v>77.865157982187398</v>
      </c>
      <c r="E8" s="889">
        <f>65+10.1656859220454</f>
        <v>75.165685922045398</v>
      </c>
      <c r="F8" s="889">
        <f>65+11.8347431493861</f>
        <v>76.8347431493861</v>
      </c>
      <c r="G8" s="889">
        <f>65+11.5988416098556</f>
        <v>76.598841609855597</v>
      </c>
      <c r="H8" s="889">
        <f>65+12.5862442653164</f>
        <v>77.586244265316395</v>
      </c>
      <c r="I8" s="889">
        <f>65+11.9888249759179</f>
        <v>76.988824975917908</v>
      </c>
      <c r="J8" s="889">
        <f>65+13.1173802044096</f>
        <v>78.117380204409599</v>
      </c>
      <c r="K8" s="889">
        <f>65+12.2712698003862</f>
        <v>77.271269800386193</v>
      </c>
      <c r="L8" s="889">
        <f>65+13.2164688999469</f>
        <v>78.216468899946904</v>
      </c>
      <c r="M8" s="889">
        <f>65+12.8838599241382</f>
        <v>77.883859924138193</v>
      </c>
      <c r="N8" s="889">
        <f>65+12.8933342433891</f>
        <v>77.893334243389106</v>
      </c>
      <c r="O8" s="889">
        <f>65+12.6936632416812</f>
        <v>77.693663241681207</v>
      </c>
      <c r="P8" s="889">
        <f>65+12.1734882365937</f>
        <v>77.173488236593698</v>
      </c>
      <c r="Q8" s="889">
        <f>65+12.2255265908049</f>
        <v>77.225526590804904</v>
      </c>
      <c r="R8" s="889">
        <f>65+12.0929903724385</f>
        <v>77.092990372438493</v>
      </c>
      <c r="S8" s="889">
        <f>65+12.1336918466478</f>
        <v>77.133691846647793</v>
      </c>
      <c r="T8" s="889">
        <f>65+12.064723938345</f>
        <v>77.064723938344997</v>
      </c>
      <c r="U8" s="1151">
        <f>65+11.7412442653165</f>
        <v>76.741244265316496</v>
      </c>
      <c r="V8" s="559"/>
    </row>
    <row r="9" spans="1:22" s="27" customFormat="1" ht="16.5" customHeight="1" x14ac:dyDescent="0.2">
      <c r="A9" s="805" t="s">
        <v>355</v>
      </c>
      <c r="B9" s="890">
        <v>100</v>
      </c>
      <c r="C9" s="891">
        <v>102.98239811623309</v>
      </c>
      <c r="D9" s="892">
        <v>103.60901899986388</v>
      </c>
      <c r="E9" s="893">
        <v>98.897124746333375</v>
      </c>
      <c r="F9" s="893">
        <v>104.17122525193228</v>
      </c>
      <c r="G9" s="893">
        <v>102.75809618931299</v>
      </c>
      <c r="H9" s="893">
        <v>104.76576848506495</v>
      </c>
      <c r="I9" s="893">
        <v>98.532020230228213</v>
      </c>
      <c r="J9" s="893">
        <v>102.69432115433955</v>
      </c>
      <c r="K9" s="893">
        <v>101.41033383961764</v>
      </c>
      <c r="L9" s="893">
        <v>107.6431095540115</v>
      </c>
      <c r="M9" s="893">
        <v>106.90004267231951</v>
      </c>
      <c r="N9" s="893">
        <v>103.28698047124351</v>
      </c>
      <c r="O9" s="893">
        <v>99.813470526979714</v>
      </c>
      <c r="P9" s="893">
        <v>99.595432452998935</v>
      </c>
      <c r="Q9" s="893">
        <v>105.16738422975384</v>
      </c>
      <c r="R9" s="893">
        <v>98.748857765616208</v>
      </c>
      <c r="S9" s="893">
        <v>103.53232318756878</v>
      </c>
      <c r="T9" s="893">
        <v>102.69601362575278</v>
      </c>
      <c r="U9" s="1152">
        <v>103.21478286854817</v>
      </c>
      <c r="V9" s="559"/>
    </row>
    <row r="10" spans="1:22" s="27" customFormat="1" ht="16.5" customHeight="1" x14ac:dyDescent="0.2">
      <c r="A10" s="490" t="s">
        <v>17</v>
      </c>
      <c r="B10" s="241"/>
      <c r="C10" s="491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559"/>
    </row>
    <row r="11" spans="1:22" s="27" customFormat="1" ht="16.5" customHeight="1" x14ac:dyDescent="0.2">
      <c r="A11" s="803" t="s">
        <v>353</v>
      </c>
      <c r="B11" s="899">
        <v>100</v>
      </c>
      <c r="C11" s="900">
        <v>101.11576156562354</v>
      </c>
      <c r="D11" s="901">
        <v>104.97014508119854</v>
      </c>
      <c r="E11" s="801">
        <v>100.97910517606631</v>
      </c>
      <c r="F11" s="801">
        <v>106.22997398253688</v>
      </c>
      <c r="G11" s="801">
        <v>102.5125222130346</v>
      </c>
      <c r="H11" s="801">
        <v>101.13150653840179</v>
      </c>
      <c r="I11" s="801">
        <v>99.696397414605073</v>
      </c>
      <c r="J11" s="801">
        <v>99.171571037358376</v>
      </c>
      <c r="K11" s="801">
        <v>99.132090661602206</v>
      </c>
      <c r="L11" s="801">
        <v>106.10968398785482</v>
      </c>
      <c r="M11" s="801">
        <v>104.47404877295048</v>
      </c>
      <c r="N11" s="801">
        <v>98.50238808777604</v>
      </c>
      <c r="O11" s="801">
        <v>99.322122877849978</v>
      </c>
      <c r="P11" s="801">
        <v>95.838973086330327</v>
      </c>
      <c r="Q11" s="801">
        <v>97.786087470125622</v>
      </c>
      <c r="R11" s="801">
        <v>99.535062030785397</v>
      </c>
      <c r="S11" s="801">
        <v>96.246993364273976</v>
      </c>
      <c r="T11" s="801">
        <v>97.371199453226282</v>
      </c>
      <c r="U11" s="1153">
        <v>98.822659138117018</v>
      </c>
      <c r="V11" s="559"/>
    </row>
    <row r="12" spans="1:22" s="27" customFormat="1" ht="27.75" customHeight="1" x14ac:dyDescent="0.2">
      <c r="A12" s="856" t="s">
        <v>168</v>
      </c>
      <c r="B12" s="906">
        <v>100</v>
      </c>
      <c r="C12" s="891">
        <v>105.47081310103177</v>
      </c>
      <c r="D12" s="892">
        <v>107.32864088720667</v>
      </c>
      <c r="E12" s="893">
        <v>105.48761286018343</v>
      </c>
      <c r="F12" s="893">
        <v>108.4278388489552</v>
      </c>
      <c r="G12" s="893">
        <v>106.5951230171615</v>
      </c>
      <c r="H12" s="893">
        <v>105.0719819631111</v>
      </c>
      <c r="I12" s="893">
        <v>103.30751063583497</v>
      </c>
      <c r="J12" s="893">
        <v>102.07979260206275</v>
      </c>
      <c r="K12" s="893">
        <v>103.72229283778658</v>
      </c>
      <c r="L12" s="893">
        <v>111.06668345980565</v>
      </c>
      <c r="M12" s="893">
        <v>108.34482285649533</v>
      </c>
      <c r="N12" s="893">
        <v>100.5156235906021</v>
      </c>
      <c r="O12" s="893">
        <v>105.45434259980298</v>
      </c>
      <c r="P12" s="893">
        <v>98.961681182485549</v>
      </c>
      <c r="Q12" s="893">
        <v>100.08973695170201</v>
      </c>
      <c r="R12" s="893">
        <v>105.94018810495216</v>
      </c>
      <c r="S12" s="893">
        <v>98.132366702607882</v>
      </c>
      <c r="T12" s="893">
        <v>98.145353486920826</v>
      </c>
      <c r="U12" s="1152">
        <v>101.03001463406339</v>
      </c>
      <c r="V12" s="559"/>
    </row>
    <row r="13" spans="1:22" s="27" customFormat="1" ht="16.5" customHeight="1" x14ac:dyDescent="0.2">
      <c r="A13" s="803" t="s">
        <v>169</v>
      </c>
      <c r="B13" s="899">
        <v>100</v>
      </c>
      <c r="C13" s="900">
        <v>102.01608224568817</v>
      </c>
      <c r="D13" s="901">
        <v>105.70655166056359</v>
      </c>
      <c r="E13" s="801">
        <v>104.01574082573629</v>
      </c>
      <c r="F13" s="801">
        <v>105.5193333708355</v>
      </c>
      <c r="G13" s="801">
        <v>102.07014590331997</v>
      </c>
      <c r="H13" s="801">
        <v>99.827896586317209</v>
      </c>
      <c r="I13" s="801">
        <v>103.34285985391585</v>
      </c>
      <c r="J13" s="801">
        <v>107.79338485081</v>
      </c>
      <c r="K13" s="801">
        <v>101.33910249419982</v>
      </c>
      <c r="L13" s="801">
        <v>107.44112340112531</v>
      </c>
      <c r="M13" s="801">
        <v>105.12421600786814</v>
      </c>
      <c r="N13" s="801">
        <v>99.425341654686548</v>
      </c>
      <c r="O13" s="801">
        <v>99.804697775109176</v>
      </c>
      <c r="P13" s="801">
        <v>99.193885977797919</v>
      </c>
      <c r="Q13" s="801">
        <v>101.08984067769518</v>
      </c>
      <c r="R13" s="801">
        <v>97.678580562698968</v>
      </c>
      <c r="S13" s="801">
        <v>98.049885636575908</v>
      </c>
      <c r="T13" s="801">
        <v>100.01675347193463</v>
      </c>
      <c r="U13" s="1153">
        <v>99.84815710272737</v>
      </c>
      <c r="V13" s="559"/>
    </row>
    <row r="14" spans="1:22" s="27" customFormat="1" ht="16.5" customHeight="1" x14ac:dyDescent="0.2">
      <c r="A14" s="858" t="s">
        <v>352</v>
      </c>
      <c r="B14" s="902">
        <v>100</v>
      </c>
      <c r="C14" s="907">
        <v>101.5505810953193</v>
      </c>
      <c r="D14" s="909">
        <v>105.21561394098688</v>
      </c>
      <c r="E14" s="910">
        <v>102.30763327279692</v>
      </c>
      <c r="F14" s="908">
        <v>105.87465367668619</v>
      </c>
      <c r="G14" s="908">
        <v>102.282486531983</v>
      </c>
      <c r="H14" s="908">
        <v>100.47970156235949</v>
      </c>
      <c r="I14" s="908">
        <v>101.37938007890237</v>
      </c>
      <c r="J14" s="908">
        <v>102.04550897517558</v>
      </c>
      <c r="K14" s="908">
        <v>100.27973681455296</v>
      </c>
      <c r="L14" s="908">
        <v>106.72419448628736</v>
      </c>
      <c r="M14" s="908">
        <v>104.73411566691753</v>
      </c>
      <c r="N14" s="908">
        <v>98.910617550063378</v>
      </c>
      <c r="O14" s="908">
        <v>99.555870093709899</v>
      </c>
      <c r="P14" s="908">
        <v>97.387394420853838</v>
      </c>
      <c r="Q14" s="908">
        <v>99.107588753153451</v>
      </c>
      <c r="R14" s="908">
        <v>98.606821296742169</v>
      </c>
      <c r="S14" s="908">
        <v>97.18449734587098</v>
      </c>
      <c r="T14" s="908">
        <v>98.746887542954624</v>
      </c>
      <c r="U14" s="904">
        <v>99.335408120422187</v>
      </c>
      <c r="V14" s="559"/>
    </row>
    <row r="15" spans="1:22" s="27" customFormat="1" ht="16.5" customHeight="1" x14ac:dyDescent="0.2">
      <c r="A15" s="533" t="s">
        <v>18</v>
      </c>
      <c r="B15" s="534"/>
      <c r="C15" s="535"/>
      <c r="D15" s="536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559"/>
    </row>
    <row r="16" spans="1:22" s="27" customFormat="1" ht="16.5" customHeight="1" x14ac:dyDescent="0.2">
      <c r="A16" s="804" t="s">
        <v>129</v>
      </c>
      <c r="B16" s="902">
        <v>64.704692993321601</v>
      </c>
      <c r="C16" s="903">
        <v>61.779215766462464</v>
      </c>
      <c r="D16" s="904">
        <v>59.246785540192178</v>
      </c>
      <c r="E16" s="905">
        <v>63.03945858002335</v>
      </c>
      <c r="F16" s="905">
        <v>60.490338965014793</v>
      </c>
      <c r="G16" s="905">
        <v>57.137302739132473</v>
      </c>
      <c r="H16" s="905">
        <v>63.539047297641908</v>
      </c>
      <c r="I16" s="905">
        <v>63.957683683825508</v>
      </c>
      <c r="J16" s="905">
        <v>64.03389665130328</v>
      </c>
      <c r="K16" s="905">
        <v>64.597861172204006</v>
      </c>
      <c r="L16" s="905">
        <v>61.90411764549318</v>
      </c>
      <c r="M16" s="905">
        <v>67.638770631376019</v>
      </c>
      <c r="N16" s="905">
        <v>60.147167188994501</v>
      </c>
      <c r="O16" s="905">
        <v>65.109630086488153</v>
      </c>
      <c r="P16" s="905">
        <v>61.803914473840187</v>
      </c>
      <c r="Q16" s="905">
        <v>65.638770631376019</v>
      </c>
      <c r="R16" s="905">
        <v>64.135372944519418</v>
      </c>
      <c r="S16" s="905">
        <v>65.98422468389515</v>
      </c>
      <c r="T16" s="905">
        <v>60.837862899598477</v>
      </c>
      <c r="U16" s="1154">
        <v>62.372547297641916</v>
      </c>
      <c r="V16" s="559"/>
    </row>
    <row r="17" spans="1:57" s="211" customFormat="1" ht="16.5" customHeight="1" x14ac:dyDescent="0.2">
      <c r="A17" s="804" t="s">
        <v>27</v>
      </c>
      <c r="B17" s="899">
        <v>60.745223487986109</v>
      </c>
      <c r="C17" s="900">
        <v>56.953947836725433</v>
      </c>
      <c r="D17" s="901">
        <v>56.368611595545076</v>
      </c>
      <c r="E17" s="919">
        <v>57.758027938051761</v>
      </c>
      <c r="F17" s="919">
        <v>55.327549675249507</v>
      </c>
      <c r="G17" s="919">
        <v>51.446182484029599</v>
      </c>
      <c r="H17" s="919">
        <v>56.457482874688921</v>
      </c>
      <c r="I17" s="919">
        <v>57.743054062810003</v>
      </c>
      <c r="J17" s="919">
        <v>57.900111595545063</v>
      </c>
      <c r="K17" s="919">
        <v>57.855662637598414</v>
      </c>
      <c r="L17" s="919">
        <v>58.559205308509469</v>
      </c>
      <c r="M17" s="919">
        <v>61.09076145487731</v>
      </c>
      <c r="N17" s="919">
        <v>58.004034678121201</v>
      </c>
      <c r="O17" s="919">
        <v>58.90465407536847</v>
      </c>
      <c r="P17" s="801">
        <v>59.652720729476677</v>
      </c>
      <c r="Q17" s="919">
        <v>59.881428121543948</v>
      </c>
      <c r="R17" s="919">
        <v>56.882652888058274</v>
      </c>
      <c r="S17" s="801">
        <v>60.212634785406387</v>
      </c>
      <c r="T17" s="801">
        <v>58.230815162690398</v>
      </c>
      <c r="U17" s="1153">
        <v>58.465816208022247</v>
      </c>
      <c r="V17" s="559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s="218" customFormat="1" ht="16.5" customHeight="1" x14ac:dyDescent="0.2">
      <c r="A18" s="858" t="s">
        <v>130</v>
      </c>
      <c r="B18" s="1027">
        <v>6.2097437959579302</v>
      </c>
      <c r="C18" s="894">
        <v>5.7188048668600775</v>
      </c>
      <c r="D18" s="1005">
        <v>5.5409256437873005</v>
      </c>
      <c r="E18" s="1028">
        <v>5.8971974590987415</v>
      </c>
      <c r="F18" s="1028">
        <v>5.5141152988029898</v>
      </c>
      <c r="G18" s="1028">
        <v>4.994323413284194</v>
      </c>
      <c r="H18" s="1028">
        <v>5.8143506928819715</v>
      </c>
      <c r="I18" s="1028">
        <v>5.9546588526265598</v>
      </c>
      <c r="J18" s="1028">
        <v>6.0417009837872993</v>
      </c>
      <c r="K18" s="1028">
        <v>5.9505167720083527</v>
      </c>
      <c r="L18" s="1028">
        <v>5.8478897542450898</v>
      </c>
      <c r="M18" s="1028">
        <v>6.441816880397301</v>
      </c>
      <c r="N18" s="1028">
        <v>5.6911914503301961</v>
      </c>
      <c r="O18" s="1028">
        <v>6.1101029444325565</v>
      </c>
      <c r="P18" s="1028">
        <v>5.9254417701796172</v>
      </c>
      <c r="Q18" s="1028">
        <v>6.2112262803973</v>
      </c>
      <c r="R18" s="1028">
        <v>5.8650882892856337</v>
      </c>
      <c r="S18" s="1028">
        <v>6.2252869583521147</v>
      </c>
      <c r="T18" s="1028">
        <v>5.7401918635795823</v>
      </c>
      <c r="U18" s="1155">
        <v>5.874836417881971</v>
      </c>
      <c r="V18" s="55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s="211" customFormat="1" ht="16.5" customHeight="1" x14ac:dyDescent="0.2">
      <c r="A19" s="505" t="s">
        <v>15</v>
      </c>
      <c r="B19" s="895"/>
      <c r="C19" s="896"/>
      <c r="D19" s="898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559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s="27" customFormat="1" ht="16.5" customHeight="1" x14ac:dyDescent="0.2">
      <c r="A20" s="802" t="s">
        <v>359</v>
      </c>
      <c r="B20" s="881">
        <v>100</v>
      </c>
      <c r="C20" s="882">
        <v>94.794135624647112</v>
      </c>
      <c r="D20" s="884">
        <v>109.30304213283986</v>
      </c>
      <c r="E20" s="883">
        <v>97.061387407477142</v>
      </c>
      <c r="F20" s="883">
        <v>99.47754211353886</v>
      </c>
      <c r="G20" s="883">
        <v>99.810411778263799</v>
      </c>
      <c r="H20" s="883">
        <v>86.263838654270472</v>
      </c>
      <c r="I20" s="883">
        <v>89.519663656600031</v>
      </c>
      <c r="J20" s="883">
        <v>90.468837960864462</v>
      </c>
      <c r="K20" s="883">
        <v>91.444959039815316</v>
      </c>
      <c r="L20" s="883">
        <v>114.89810468347585</v>
      </c>
      <c r="M20" s="883">
        <v>109.44699292013533</v>
      </c>
      <c r="N20" s="883">
        <v>85.210474972604302</v>
      </c>
      <c r="O20" s="883">
        <v>82.606727649076333</v>
      </c>
      <c r="P20" s="883">
        <v>77.352965140888358</v>
      </c>
      <c r="Q20" s="883">
        <v>85.055240116661693</v>
      </c>
      <c r="R20" s="883">
        <v>87.784954396008018</v>
      </c>
      <c r="S20" s="883">
        <v>93.610545426521583</v>
      </c>
      <c r="T20" s="883">
        <v>87.432545114167553</v>
      </c>
      <c r="U20" s="1150">
        <v>89.810877659003665</v>
      </c>
      <c r="V20" s="559"/>
    </row>
    <row r="21" spans="1:57" s="211" customFormat="1" ht="16.5" customHeight="1" x14ac:dyDescent="0.2">
      <c r="A21" s="803" t="s">
        <v>360</v>
      </c>
      <c r="B21" s="899">
        <v>100</v>
      </c>
      <c r="C21" s="900">
        <v>95.228288872757986</v>
      </c>
      <c r="D21" s="901">
        <v>102.48826314848817</v>
      </c>
      <c r="E21" s="801">
        <v>99.078867736461433</v>
      </c>
      <c r="F21" s="801">
        <v>99.911848977988114</v>
      </c>
      <c r="G21" s="801">
        <v>97.076345356025882</v>
      </c>
      <c r="H21" s="801">
        <v>89.546208602722174</v>
      </c>
      <c r="I21" s="801">
        <v>90.005411325383363</v>
      </c>
      <c r="J21" s="801">
        <v>90.738012456143522</v>
      </c>
      <c r="K21" s="801">
        <v>91.52375899432657</v>
      </c>
      <c r="L21" s="801">
        <v>107.79329049212315</v>
      </c>
      <c r="M21" s="801">
        <v>101.83212983631503</v>
      </c>
      <c r="N21" s="801">
        <v>91.85321479947649</v>
      </c>
      <c r="O21" s="801">
        <v>87.894834721837924</v>
      </c>
      <c r="P21" s="801">
        <v>81.841075497596492</v>
      </c>
      <c r="Q21" s="801">
        <v>87.538289670962868</v>
      </c>
      <c r="R21" s="801">
        <v>89.008925654306623</v>
      </c>
      <c r="S21" s="801">
        <v>92.473036358652649</v>
      </c>
      <c r="T21" s="801">
        <v>88.955459600604073</v>
      </c>
      <c r="U21" s="1153">
        <v>90.920190137996286</v>
      </c>
      <c r="V21" s="559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211" customFormat="1" ht="16.5" customHeight="1" x14ac:dyDescent="0.2">
      <c r="A22" s="803" t="s">
        <v>361</v>
      </c>
      <c r="B22" s="899">
        <v>100</v>
      </c>
      <c r="C22" s="900">
        <v>106.7140214305916</v>
      </c>
      <c r="D22" s="901">
        <v>103.29506042949613</v>
      </c>
      <c r="E22" s="801">
        <v>103.47676087323771</v>
      </c>
      <c r="F22" s="801">
        <v>104.49785448836131</v>
      </c>
      <c r="G22" s="801">
        <v>106.27244813383038</v>
      </c>
      <c r="H22" s="801">
        <v>112.11570195012177</v>
      </c>
      <c r="I22" s="801">
        <v>102.07967885746376</v>
      </c>
      <c r="J22" s="801">
        <v>105.77201238352438</v>
      </c>
      <c r="K22" s="801">
        <v>107.08211550196053</v>
      </c>
      <c r="L22" s="801">
        <v>104.91997992356085</v>
      </c>
      <c r="M22" s="801">
        <v>111.40802717008363</v>
      </c>
      <c r="N22" s="801">
        <v>105.77159576119199</v>
      </c>
      <c r="O22" s="801">
        <v>109.52396783241427</v>
      </c>
      <c r="P22" s="801">
        <v>106.88847803447415</v>
      </c>
      <c r="Q22" s="801">
        <v>110.40314274745296</v>
      </c>
      <c r="R22" s="801">
        <v>107.9396544928051</v>
      </c>
      <c r="S22" s="801">
        <v>110.42371684980621</v>
      </c>
      <c r="T22" s="801">
        <v>107.91762719730771</v>
      </c>
      <c r="U22" s="1153">
        <v>111.26507610114056</v>
      </c>
      <c r="V22" s="559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s="211" customFormat="1" ht="16.5" customHeight="1" x14ac:dyDescent="0.2">
      <c r="A23" s="803" t="s">
        <v>362</v>
      </c>
      <c r="B23" s="899">
        <v>100</v>
      </c>
      <c r="C23" s="900">
        <v>103.03699233124958</v>
      </c>
      <c r="D23" s="901">
        <v>103.27801440150479</v>
      </c>
      <c r="E23" s="801">
        <v>103.75056758571185</v>
      </c>
      <c r="F23" s="801">
        <v>108.83682362303624</v>
      </c>
      <c r="G23" s="801">
        <v>106.42697213018714</v>
      </c>
      <c r="H23" s="801">
        <v>106.04156187206493</v>
      </c>
      <c r="I23" s="801">
        <v>100.81991797905899</v>
      </c>
      <c r="J23" s="801">
        <v>103.39532365047644</v>
      </c>
      <c r="K23" s="801">
        <v>98.985970005356819</v>
      </c>
      <c r="L23" s="801">
        <v>105.98625825184288</v>
      </c>
      <c r="M23" s="801">
        <v>106.26582093156536</v>
      </c>
      <c r="N23" s="801">
        <v>106.06663884301267</v>
      </c>
      <c r="O23" s="801">
        <v>97.71912242584834</v>
      </c>
      <c r="P23" s="801">
        <v>103.890434862082</v>
      </c>
      <c r="Q23" s="801">
        <v>112.06586091437592</v>
      </c>
      <c r="R23" s="801">
        <v>95.643061864161808</v>
      </c>
      <c r="S23" s="801">
        <v>106.4502834725146</v>
      </c>
      <c r="T23" s="801">
        <v>109.65885009371598</v>
      </c>
      <c r="U23" s="1153">
        <v>102.54935576806228</v>
      </c>
      <c r="V23" s="559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211" customFormat="1" ht="16.5" customHeight="1" x14ac:dyDescent="0.2">
      <c r="A24" s="803" t="s">
        <v>363</v>
      </c>
      <c r="B24" s="902">
        <v>100</v>
      </c>
      <c r="C24" s="903">
        <v>101.91339198915668</v>
      </c>
      <c r="D24" s="904">
        <v>100.36384875840498</v>
      </c>
      <c r="E24" s="905">
        <v>95.242479174484359</v>
      </c>
      <c r="F24" s="905">
        <v>104.97870215916276</v>
      </c>
      <c r="G24" s="905">
        <v>102.40102560010362</v>
      </c>
      <c r="H24" s="905">
        <v>101.76951478869434</v>
      </c>
      <c r="I24" s="905">
        <v>99.748697767194173</v>
      </c>
      <c r="J24" s="905">
        <v>103.36196089735954</v>
      </c>
      <c r="K24" s="905">
        <v>104.94874451023365</v>
      </c>
      <c r="L24" s="905">
        <v>106.85876335059598</v>
      </c>
      <c r="M24" s="905">
        <v>97.566569248432714</v>
      </c>
      <c r="N24" s="905">
        <v>103.2934449455023</v>
      </c>
      <c r="O24" s="905">
        <v>92.064981539347855</v>
      </c>
      <c r="P24" s="905">
        <v>100.82794099000068</v>
      </c>
      <c r="Q24" s="905">
        <v>105.10499781566614</v>
      </c>
      <c r="R24" s="905">
        <v>95.531797410092096</v>
      </c>
      <c r="S24" s="905">
        <v>98.63820831994515</v>
      </c>
      <c r="T24" s="905">
        <v>99.561929306348688</v>
      </c>
      <c r="U24" s="1154">
        <v>105.0432193658976</v>
      </c>
      <c r="V24" s="559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s="211" customFormat="1" ht="16.5" customHeight="1" x14ac:dyDescent="0.2">
      <c r="A25" s="521" t="s">
        <v>30</v>
      </c>
      <c r="B25" s="911"/>
      <c r="C25" s="912"/>
      <c r="D25" s="913"/>
      <c r="E25" s="897"/>
      <c r="F25" s="897"/>
      <c r="G25" s="897"/>
      <c r="H25" s="897"/>
      <c r="I25" s="897"/>
      <c r="J25" s="897"/>
      <c r="K25" s="897"/>
      <c r="L25" s="897"/>
      <c r="M25" s="897"/>
      <c r="N25" s="897"/>
      <c r="O25" s="897"/>
      <c r="P25" s="897"/>
      <c r="Q25" s="897"/>
      <c r="R25" s="897"/>
      <c r="S25" s="897"/>
      <c r="T25" s="897"/>
      <c r="U25" s="897"/>
      <c r="V25" s="559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s="211" customFormat="1" ht="16.5" customHeight="1" x14ac:dyDescent="0.2">
      <c r="A26" s="802" t="s">
        <v>338</v>
      </c>
      <c r="B26" s="881">
        <v>100</v>
      </c>
      <c r="C26" s="882">
        <v>106.02511076382997</v>
      </c>
      <c r="D26" s="884">
        <v>112.97865025461435</v>
      </c>
      <c r="E26" s="883">
        <v>111.40108111823935</v>
      </c>
      <c r="F26" s="883">
        <v>113.43308844421878</v>
      </c>
      <c r="G26" s="883">
        <v>108.12920158184876</v>
      </c>
      <c r="H26" s="883">
        <v>104.29067587747703</v>
      </c>
      <c r="I26" s="883">
        <v>108.34327063513192</v>
      </c>
      <c r="J26" s="883">
        <v>104.6128497100773</v>
      </c>
      <c r="K26" s="883">
        <v>104.53645135600043</v>
      </c>
      <c r="L26" s="883">
        <v>113.78872104792688</v>
      </c>
      <c r="M26" s="883">
        <v>108.90344877883051</v>
      </c>
      <c r="N26" s="883">
        <v>98.933555383467947</v>
      </c>
      <c r="O26" s="883">
        <v>104.73762443146171</v>
      </c>
      <c r="P26" s="883">
        <v>94.536131151547906</v>
      </c>
      <c r="Q26" s="883">
        <v>95.792826288418937</v>
      </c>
      <c r="R26" s="883">
        <v>104.16002509798912</v>
      </c>
      <c r="S26" s="883">
        <v>94.741537726571508</v>
      </c>
      <c r="T26" s="883">
        <v>95.485321515972657</v>
      </c>
      <c r="U26" s="1150">
        <v>98.753599258071162</v>
      </c>
      <c r="V26" s="559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s="211" customFormat="1" ht="16.5" customHeight="1" x14ac:dyDescent="0.2">
      <c r="A27" s="885" t="s">
        <v>369</v>
      </c>
      <c r="B27" s="914">
        <f>65+6.88703153392881</f>
        <v>71.887031533928806</v>
      </c>
      <c r="C27" s="887">
        <f>65+6.88369529000001</f>
        <v>71.883695290000006</v>
      </c>
      <c r="D27" s="888">
        <f>65+4.93829642652456</f>
        <v>69.938296426524559</v>
      </c>
      <c r="E27" s="889">
        <f>65+4.49098066047323</f>
        <v>69.490980660473227</v>
      </c>
      <c r="F27" s="889">
        <f>65+4.95055572217116</f>
        <v>69.95055572217116</v>
      </c>
      <c r="G27" s="889">
        <f>65+6.90664923263847</f>
        <v>71.906649232638472</v>
      </c>
      <c r="H27" s="889">
        <f>65+7.36602504326596</f>
        <v>72.366025043265964</v>
      </c>
      <c r="I27" s="889">
        <f>65+5.4389954462055</f>
        <v>70.438995446205496</v>
      </c>
      <c r="J27" s="889">
        <f>65+6.20412975985789</f>
        <v>71.204129759857892</v>
      </c>
      <c r="K27" s="889">
        <f>65+6.76288072297025</f>
        <v>71.762880722970252</v>
      </c>
      <c r="L27" s="889">
        <f>65+6.17881028349642</f>
        <v>71.178810283496418</v>
      </c>
      <c r="M27" s="889">
        <f>65+6.48278598682936</f>
        <v>71.482785986829356</v>
      </c>
      <c r="N27" s="889">
        <f>65+7.32851452734999</f>
        <v>72.328514527349995</v>
      </c>
      <c r="O27" s="889">
        <f>65+7.24162170295439</f>
        <v>72.24162170295439</v>
      </c>
      <c r="P27" s="889">
        <f>65+7.57633490739236</f>
        <v>72.576334907392365</v>
      </c>
      <c r="Q27" s="889">
        <f>65+8.45945265349602</f>
        <v>73.459452653496015</v>
      </c>
      <c r="R27" s="889">
        <f>65+7.7415133928934</f>
        <v>72.741513392893395</v>
      </c>
      <c r="S27" s="889">
        <f>65+7.13311773556971</f>
        <v>72.133117735569712</v>
      </c>
      <c r="T27" s="889">
        <f>65+6.77028106419485</f>
        <v>71.770281064194847</v>
      </c>
      <c r="U27" s="1151">
        <f>65+6.84602504326595</f>
        <v>71.846025043265954</v>
      </c>
      <c r="V27" s="559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s="211" customFormat="1" ht="16.5" customHeight="1" x14ac:dyDescent="0.2">
      <c r="A28" s="803" t="s">
        <v>339</v>
      </c>
      <c r="B28" s="899">
        <v>100</v>
      </c>
      <c r="C28" s="900">
        <v>102.05084377315463</v>
      </c>
      <c r="D28" s="901">
        <v>102.0003941527597</v>
      </c>
      <c r="E28" s="801">
        <v>101.10497809255928</v>
      </c>
      <c r="F28" s="801">
        <v>103.09194455536523</v>
      </c>
      <c r="G28" s="801">
        <v>101.44508812017068</v>
      </c>
      <c r="H28" s="801">
        <v>104.66831209665703</v>
      </c>
      <c r="I28" s="801">
        <v>97.448941341725345</v>
      </c>
      <c r="J28" s="801">
        <v>96.866969665165939</v>
      </c>
      <c r="K28" s="801">
        <v>100.4850388163198</v>
      </c>
      <c r="L28" s="801">
        <v>106.3110463353612</v>
      </c>
      <c r="M28" s="801">
        <v>105.12129963515895</v>
      </c>
      <c r="N28" s="801">
        <v>99.734911321739887</v>
      </c>
      <c r="O28" s="801">
        <v>102.27813432226998</v>
      </c>
      <c r="P28" s="801">
        <v>103.83581225198834</v>
      </c>
      <c r="Q28" s="801">
        <v>102.25573815405791</v>
      </c>
      <c r="R28" s="801">
        <v>104.32922959921125</v>
      </c>
      <c r="S28" s="801">
        <v>101.49409782985062</v>
      </c>
      <c r="T28" s="801">
        <v>100.57623715906749</v>
      </c>
      <c r="U28" s="1153">
        <v>104.0367016518581</v>
      </c>
      <c r="V28" s="559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s="27" customFormat="1" ht="16.5" customHeight="1" x14ac:dyDescent="0.2">
      <c r="A29" s="915" t="s">
        <v>371</v>
      </c>
      <c r="B29" s="914">
        <f>65+8.19616136642111</f>
        <v>73.196161366421109</v>
      </c>
      <c r="C29" s="887">
        <f>65+8.83052839406854</f>
        <v>73.830528394068537</v>
      </c>
      <c r="D29" s="888">
        <f>65+7.67261757638201</f>
        <v>72.672617576382009</v>
      </c>
      <c r="E29" s="889">
        <f>65+7.1359233089392</f>
        <v>72.135923308939198</v>
      </c>
      <c r="F29" s="889">
        <f>65+8.47853447647765</f>
        <v>73.478534476477648</v>
      </c>
      <c r="G29" s="889">
        <f>65+9.04123125557783</f>
        <v>74.041231255577827</v>
      </c>
      <c r="H29" s="889">
        <f>65+8.45813594009108</f>
        <v>73.458135940091083</v>
      </c>
      <c r="I29" s="889">
        <f>65+8.40736337856355</f>
        <v>73.407363378563545</v>
      </c>
      <c r="J29" s="889">
        <f>65+8.69595090971534</f>
        <v>73.695950909715336</v>
      </c>
      <c r="K29" s="889">
        <f>65+8.36296908589949</f>
        <v>73.362969085899493</v>
      </c>
      <c r="L29" s="889">
        <f>65+7.79603249436576</f>
        <v>72.796032494365761</v>
      </c>
      <c r="M29" s="889">
        <f>65+9.28647790402529</f>
        <v>74.28647790402529</v>
      </c>
      <c r="N29" s="889">
        <f>65+9.61987174058982</f>
        <v>74.619871740589815</v>
      </c>
      <c r="O29" s="889">
        <f>65+9.33253739390985</f>
        <v>74.332537393909845</v>
      </c>
      <c r="P29" s="889">
        <f>65+8.72941824537118</f>
        <v>73.729418245371178</v>
      </c>
      <c r="Q29" s="889">
        <f>65+8.06647790402529</f>
        <v>73.066477904025291</v>
      </c>
      <c r="R29" s="889">
        <f>65+9.40923556388701</f>
        <v>74.409235563887009</v>
      </c>
      <c r="S29" s="889">
        <f>65+8.5878831593202</f>
        <v>73.587883159320199</v>
      </c>
      <c r="T29" s="889">
        <f>65+8.88510417549581</f>
        <v>73.885104175495812</v>
      </c>
      <c r="U29" s="1151">
        <f>65+8.39480260675775</f>
        <v>73.39480260675775</v>
      </c>
      <c r="V29" s="559"/>
      <c r="W29" s="477"/>
    </row>
    <row r="30" spans="1:57" s="211" customFormat="1" ht="16.5" customHeight="1" x14ac:dyDescent="0.2">
      <c r="A30" s="803" t="s">
        <v>340</v>
      </c>
      <c r="B30" s="899">
        <v>100</v>
      </c>
      <c r="C30" s="900">
        <v>98.04337828893928</v>
      </c>
      <c r="D30" s="901">
        <v>100.77265517194193</v>
      </c>
      <c r="E30" s="801">
        <v>90.459161748973827</v>
      </c>
      <c r="F30" s="801">
        <v>102.86737394201839</v>
      </c>
      <c r="G30" s="801">
        <v>99.657322091162357</v>
      </c>
      <c r="H30" s="801">
        <v>101.81955468233301</v>
      </c>
      <c r="I30" s="801">
        <v>94.955106581901433</v>
      </c>
      <c r="J30" s="801">
        <v>98.118599825707022</v>
      </c>
      <c r="K30" s="801">
        <v>97.390289240162389</v>
      </c>
      <c r="L30" s="801">
        <v>98.14300263062735</v>
      </c>
      <c r="M30" s="801">
        <v>103.00727008994761</v>
      </c>
      <c r="N30" s="801">
        <v>97.632691938359855</v>
      </c>
      <c r="O30" s="801">
        <v>97.393585482084973</v>
      </c>
      <c r="P30" s="801">
        <v>96.906084540295652</v>
      </c>
      <c r="Q30" s="801">
        <v>102.67647478592411</v>
      </c>
      <c r="R30" s="801">
        <v>96.994603015031089</v>
      </c>
      <c r="S30" s="801">
        <v>98.244202664389803</v>
      </c>
      <c r="T30" s="801">
        <v>101.06304532768422</v>
      </c>
      <c r="U30" s="1153">
        <v>100.85024751240374</v>
      </c>
      <c r="V30" s="559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s="211" customFormat="1" ht="16.5" customHeight="1" x14ac:dyDescent="0.2">
      <c r="A31" s="806" t="s">
        <v>354</v>
      </c>
      <c r="B31" s="916">
        <v>100</v>
      </c>
      <c r="C31" s="917">
        <v>90.02407013426847</v>
      </c>
      <c r="D31" s="968">
        <v>92.443571640274797</v>
      </c>
      <c r="E31" s="910">
        <v>84.666927770727042</v>
      </c>
      <c r="F31" s="910">
        <v>95.51268241000912</v>
      </c>
      <c r="G31" s="910">
        <v>92.258845254978127</v>
      </c>
      <c r="H31" s="910">
        <v>87.391353254330241</v>
      </c>
      <c r="I31" s="910">
        <v>85.412811846411799</v>
      </c>
      <c r="J31" s="910">
        <v>88.733050063096371</v>
      </c>
      <c r="K31" s="910">
        <v>85.092287139573784</v>
      </c>
      <c r="L31" s="910">
        <v>93.789055366273871</v>
      </c>
      <c r="M31" s="910">
        <v>93.459282987633884</v>
      </c>
      <c r="N31" s="910">
        <v>95.709477384706503</v>
      </c>
      <c r="O31" s="910">
        <v>83.270685525809995</v>
      </c>
      <c r="P31" s="910">
        <v>86.622439372284191</v>
      </c>
      <c r="Q31" s="910">
        <v>91.014963135605427</v>
      </c>
      <c r="R31" s="910">
        <v>83.521037065185354</v>
      </c>
      <c r="S31" s="910">
        <v>90.08829602840288</v>
      </c>
      <c r="T31" s="910">
        <v>92.965504467308278</v>
      </c>
      <c r="U31" s="1156">
        <v>89.334697641190786</v>
      </c>
      <c r="V31" s="559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s="27" customFormat="1" ht="16.5" customHeight="1" x14ac:dyDescent="0.2">
      <c r="A32" s="533" t="s">
        <v>18</v>
      </c>
      <c r="B32" s="534"/>
      <c r="C32" s="535"/>
      <c r="D32" s="536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92"/>
      <c r="R32" s="492"/>
      <c r="S32" s="492"/>
      <c r="T32" s="492"/>
      <c r="U32" s="492"/>
      <c r="V32" s="559"/>
    </row>
    <row r="33" spans="1:57" s="27" customFormat="1" ht="16.5" customHeight="1" x14ac:dyDescent="0.2">
      <c r="A33" s="922" t="s">
        <v>7</v>
      </c>
      <c r="B33" s="923">
        <v>7.0198940960471443</v>
      </c>
      <c r="C33" s="918">
        <v>7.0843169089688871</v>
      </c>
      <c r="D33" s="871">
        <v>7.2468800666407729</v>
      </c>
      <c r="E33" s="868">
        <v>7.2193541990960775</v>
      </c>
      <c r="F33" s="868">
        <v>6.681284668609984</v>
      </c>
      <c r="G33" s="868">
        <v>7.0366144353745961</v>
      </c>
      <c r="H33" s="868" t="s">
        <v>358</v>
      </c>
      <c r="I33" s="868">
        <v>6.9893231279049983</v>
      </c>
      <c r="J33" s="868">
        <v>7.1531300666407729</v>
      </c>
      <c r="K33" s="868">
        <v>7.1720632516674092</v>
      </c>
      <c r="L33" s="868">
        <v>7.1205271991223809</v>
      </c>
      <c r="M33" s="868">
        <v>7.399128490314407</v>
      </c>
      <c r="N33" s="868">
        <v>7.1486048353137193</v>
      </c>
      <c r="O33" s="868">
        <v>6.9437748233663275</v>
      </c>
      <c r="P33" s="868">
        <v>6.9893231164408895</v>
      </c>
      <c r="Q33" s="868">
        <v>7.10746182364774</v>
      </c>
      <c r="R33" s="868">
        <v>7.1726557983832082</v>
      </c>
      <c r="S33" s="868">
        <v>6.9585632397504691</v>
      </c>
      <c r="T33" s="868">
        <v>6.8979617055274263</v>
      </c>
      <c r="U33" s="869" t="s">
        <v>146</v>
      </c>
      <c r="V33" s="559"/>
    </row>
    <row r="34" spans="1:57" s="27" customFormat="1" ht="16.5" customHeight="1" x14ac:dyDescent="0.2">
      <c r="A34" s="533" t="s">
        <v>19</v>
      </c>
      <c r="B34" s="534"/>
      <c r="C34" s="535"/>
      <c r="D34" s="536"/>
      <c r="E34" s="536"/>
      <c r="F34" s="536"/>
      <c r="G34" s="536"/>
      <c r="H34" s="536"/>
      <c r="I34" s="536"/>
      <c r="J34" s="536"/>
      <c r="K34" s="536"/>
      <c r="L34" s="536"/>
      <c r="M34" s="536"/>
      <c r="N34" s="536"/>
      <c r="O34" s="536"/>
      <c r="P34" s="536"/>
      <c r="Q34" s="536"/>
      <c r="R34" s="536"/>
      <c r="S34" s="536"/>
      <c r="T34" s="536"/>
      <c r="U34" s="536"/>
      <c r="V34" s="559"/>
    </row>
    <row r="35" spans="1:57" s="27" customFormat="1" ht="16.5" customHeight="1" x14ac:dyDescent="0.2">
      <c r="A35" s="924" t="s">
        <v>8</v>
      </c>
      <c r="B35" s="925">
        <v>6.1385366578673457</v>
      </c>
      <c r="C35" s="926">
        <v>6.2148837209302332</v>
      </c>
      <c r="D35" s="928">
        <v>3.9</v>
      </c>
      <c r="E35" s="927">
        <v>8.1906976744186046</v>
      </c>
      <c r="F35" s="927">
        <v>7.9395348837209303</v>
      </c>
      <c r="G35" s="927">
        <v>6.9627906976744187</v>
      </c>
      <c r="H35" s="927">
        <v>7.1302325581395349</v>
      </c>
      <c r="I35" s="929">
        <v>7.5209302325581397</v>
      </c>
      <c r="J35" s="927">
        <v>7.8558139534883722</v>
      </c>
      <c r="K35" s="927">
        <v>4.786046511627907</v>
      </c>
      <c r="L35" s="927">
        <v>7.3534883720930235</v>
      </c>
      <c r="M35" s="927">
        <v>7.4930232558139531</v>
      </c>
      <c r="N35" s="927">
        <v>7.0465116279069768</v>
      </c>
      <c r="O35" s="927">
        <v>4.9255813953488374</v>
      </c>
      <c r="P35" s="929">
        <v>8.804651162790698</v>
      </c>
      <c r="Q35" s="927">
        <v>7.2976744186046512</v>
      </c>
      <c r="R35" s="927">
        <v>5.2046511627906984</v>
      </c>
      <c r="S35" s="927">
        <v>5.1209302325581394</v>
      </c>
      <c r="T35" s="927">
        <v>1.8</v>
      </c>
      <c r="U35" s="1157">
        <v>7.6046511627906979</v>
      </c>
      <c r="V35" s="559"/>
    </row>
    <row r="36" spans="1:57" s="27" customFormat="1" ht="16.5" customHeight="1" x14ac:dyDescent="0.2">
      <c r="A36" s="930" t="s">
        <v>9</v>
      </c>
      <c r="B36" s="920">
        <v>6.6204545454545434</v>
      </c>
      <c r="C36" s="921">
        <v>7.9700000000000006</v>
      </c>
      <c r="D36" s="862">
        <v>7.25</v>
      </c>
      <c r="E36" s="889">
        <v>8.1</v>
      </c>
      <c r="F36" s="889" t="s">
        <v>163</v>
      </c>
      <c r="G36" s="889">
        <v>8.5500000000000007</v>
      </c>
      <c r="H36" s="855" t="s">
        <v>337</v>
      </c>
      <c r="I36" s="889">
        <v>8.0500000000000007</v>
      </c>
      <c r="J36" s="855">
        <v>7.65</v>
      </c>
      <c r="K36" s="889">
        <v>8</v>
      </c>
      <c r="L36" s="889">
        <v>7.75</v>
      </c>
      <c r="M36" s="855" t="s">
        <v>345</v>
      </c>
      <c r="N36" s="889">
        <v>7.95</v>
      </c>
      <c r="O36" s="889">
        <v>7.6</v>
      </c>
      <c r="P36" s="889">
        <v>8.9</v>
      </c>
      <c r="Q36" s="855" t="s">
        <v>345</v>
      </c>
      <c r="R36" s="889">
        <v>8</v>
      </c>
      <c r="S36" s="889">
        <v>8</v>
      </c>
      <c r="T36" s="889">
        <v>8.4499999999999993</v>
      </c>
      <c r="U36" s="1151" t="s">
        <v>336</v>
      </c>
      <c r="V36" s="559"/>
    </row>
    <row r="37" spans="1:57" s="27" customFormat="1" ht="16.5" customHeight="1" x14ac:dyDescent="0.2">
      <c r="A37" s="922" t="s">
        <v>10</v>
      </c>
      <c r="B37" s="931">
        <v>7.0363636363636353</v>
      </c>
      <c r="C37" s="932">
        <v>7.4600000000000009</v>
      </c>
      <c r="D37" s="863" t="s">
        <v>6</v>
      </c>
      <c r="E37" s="868">
        <v>7.7</v>
      </c>
      <c r="F37" s="868" t="s">
        <v>346</v>
      </c>
      <c r="G37" s="868">
        <v>7.45</v>
      </c>
      <c r="H37" s="861">
        <v>7.25</v>
      </c>
      <c r="I37" s="868">
        <v>7.45</v>
      </c>
      <c r="J37" s="861" t="s">
        <v>6</v>
      </c>
      <c r="K37" s="868">
        <v>7.65</v>
      </c>
      <c r="L37" s="861">
        <v>8.1</v>
      </c>
      <c r="M37" s="868">
        <v>7.3</v>
      </c>
      <c r="N37" s="868">
        <v>6.45</v>
      </c>
      <c r="O37" s="868">
        <v>7.65</v>
      </c>
      <c r="P37" s="868">
        <v>7.4</v>
      </c>
      <c r="Q37" s="868">
        <v>6.85</v>
      </c>
      <c r="R37" s="868">
        <v>7.7</v>
      </c>
      <c r="S37" s="868">
        <v>6.75</v>
      </c>
      <c r="T37" s="868">
        <v>7.65</v>
      </c>
      <c r="U37" s="869">
        <v>7.4</v>
      </c>
      <c r="V37" s="559"/>
    </row>
    <row r="38" spans="1:57" ht="11.25" customHeight="1" x14ac:dyDescent="0.2">
      <c r="A38" s="933"/>
      <c r="B38" s="934"/>
      <c r="C38" s="935"/>
      <c r="D38" s="937"/>
      <c r="E38" s="938"/>
      <c r="F38" s="938"/>
      <c r="G38" s="938"/>
      <c r="H38" s="936"/>
      <c r="I38" s="938"/>
      <c r="J38" s="936"/>
      <c r="K38" s="938"/>
      <c r="L38" s="938"/>
      <c r="M38" s="938"/>
      <c r="N38" s="938"/>
      <c r="O38" s="938"/>
      <c r="P38" s="938"/>
      <c r="Q38" s="938"/>
      <c r="R38" s="938"/>
      <c r="S38" s="938"/>
      <c r="T38" s="938"/>
      <c r="U38" s="938"/>
      <c r="V38" s="1060"/>
    </row>
    <row r="39" spans="1:57" s="27" customFormat="1" ht="16.5" customHeight="1" x14ac:dyDescent="0.2">
      <c r="A39" s="312" t="s">
        <v>11</v>
      </c>
      <c r="B39" s="939" t="s">
        <v>6</v>
      </c>
      <c r="C39" s="940" t="s">
        <v>6</v>
      </c>
      <c r="D39" s="941">
        <v>2017</v>
      </c>
      <c r="E39" s="791">
        <v>2014</v>
      </c>
      <c r="F39" s="791" t="s">
        <v>6</v>
      </c>
      <c r="G39" s="791">
        <v>2014</v>
      </c>
      <c r="H39" s="791">
        <v>2019</v>
      </c>
      <c r="I39" s="791">
        <v>2015</v>
      </c>
      <c r="J39" s="791">
        <v>2017</v>
      </c>
      <c r="K39" s="791">
        <v>2011</v>
      </c>
      <c r="L39" s="791">
        <v>2012</v>
      </c>
      <c r="M39" s="791">
        <v>2018</v>
      </c>
      <c r="N39" s="942">
        <v>2009</v>
      </c>
      <c r="O39" s="791">
        <v>2004</v>
      </c>
      <c r="P39" s="791">
        <v>2015</v>
      </c>
      <c r="Q39" s="791">
        <v>2018</v>
      </c>
      <c r="R39" s="942">
        <v>2007</v>
      </c>
      <c r="S39" s="791">
        <v>2011</v>
      </c>
      <c r="T39" s="791">
        <v>2014</v>
      </c>
      <c r="U39" s="1158">
        <v>2019</v>
      </c>
      <c r="V39" s="559"/>
    </row>
    <row r="40" spans="1:57" s="9" customFormat="1" ht="16.5" customHeight="1" x14ac:dyDescent="0.2">
      <c r="A40" s="173" t="s">
        <v>12</v>
      </c>
      <c r="B40" s="943"/>
      <c r="C40" s="944"/>
      <c r="D40" s="945"/>
      <c r="E40" s="936"/>
      <c r="F40" s="936"/>
      <c r="G40" s="936"/>
      <c r="H40" s="936"/>
      <c r="I40" s="936"/>
      <c r="J40" s="936"/>
      <c r="K40" s="936"/>
      <c r="L40" s="936"/>
      <c r="M40" s="936"/>
      <c r="N40" s="936"/>
      <c r="O40" s="936"/>
      <c r="P40" s="938"/>
      <c r="Q40" s="936"/>
      <c r="R40" s="938"/>
      <c r="S40" s="938"/>
      <c r="T40" s="938"/>
      <c r="U40" s="938"/>
      <c r="V40" s="1060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s="9" customFormat="1" ht="16.5" customHeight="1" x14ac:dyDescent="0.2">
      <c r="A41" s="946" t="s">
        <v>33</v>
      </c>
      <c r="B41" s="947" t="s">
        <v>6</v>
      </c>
      <c r="C41" s="948" t="s">
        <v>6</v>
      </c>
      <c r="D41" s="950">
        <v>12</v>
      </c>
      <c r="E41" s="949">
        <v>9</v>
      </c>
      <c r="F41" s="949">
        <v>6</v>
      </c>
      <c r="G41" s="949">
        <v>12</v>
      </c>
      <c r="H41" s="949">
        <v>6</v>
      </c>
      <c r="I41" s="949">
        <v>14</v>
      </c>
      <c r="J41" s="949">
        <v>12</v>
      </c>
      <c r="K41" s="949">
        <v>12</v>
      </c>
      <c r="L41" s="949">
        <v>14</v>
      </c>
      <c r="M41" s="949">
        <v>9</v>
      </c>
      <c r="N41" s="949">
        <v>29</v>
      </c>
      <c r="O41" s="949">
        <v>33</v>
      </c>
      <c r="P41" s="951">
        <v>14</v>
      </c>
      <c r="Q41" s="949">
        <v>9</v>
      </c>
      <c r="R41" s="951">
        <v>12</v>
      </c>
      <c r="S41" s="951">
        <v>12</v>
      </c>
      <c r="T41" s="951">
        <v>12</v>
      </c>
      <c r="U41" s="1159">
        <v>6</v>
      </c>
      <c r="V41" s="1060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s="9" customFormat="1" ht="16.5" customHeight="1" x14ac:dyDescent="0.2">
      <c r="A42" s="952" t="s">
        <v>34</v>
      </c>
      <c r="B42" s="953" t="s">
        <v>6</v>
      </c>
      <c r="C42" s="954" t="s">
        <v>6</v>
      </c>
      <c r="D42" s="956">
        <v>9</v>
      </c>
      <c r="E42" s="955">
        <v>8</v>
      </c>
      <c r="F42" s="955">
        <v>6</v>
      </c>
      <c r="G42" s="955">
        <v>13</v>
      </c>
      <c r="H42" s="955">
        <v>6</v>
      </c>
      <c r="I42" s="955">
        <v>13</v>
      </c>
      <c r="J42" s="955">
        <v>9</v>
      </c>
      <c r="K42" s="955">
        <v>11</v>
      </c>
      <c r="L42" s="955">
        <v>12</v>
      </c>
      <c r="M42" s="955">
        <v>6</v>
      </c>
      <c r="N42" s="955">
        <v>26</v>
      </c>
      <c r="O42" s="955">
        <v>32</v>
      </c>
      <c r="P42" s="955">
        <v>13</v>
      </c>
      <c r="Q42" s="955">
        <v>6</v>
      </c>
      <c r="R42" s="955">
        <v>11</v>
      </c>
      <c r="S42" s="955">
        <v>11</v>
      </c>
      <c r="T42" s="955">
        <v>12</v>
      </c>
      <c r="U42" s="1160">
        <v>6</v>
      </c>
      <c r="V42" s="1060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s="9" customFormat="1" ht="16.5" customHeight="1" thickBot="1" x14ac:dyDescent="0.25">
      <c r="A43" s="957" t="s">
        <v>35</v>
      </c>
      <c r="B43" s="958" t="s">
        <v>6</v>
      </c>
      <c r="C43" s="959" t="s">
        <v>6</v>
      </c>
      <c r="D43" s="961">
        <v>6</v>
      </c>
      <c r="E43" s="960">
        <v>7</v>
      </c>
      <c r="F43" s="960">
        <v>6</v>
      </c>
      <c r="G43" s="960">
        <v>13</v>
      </c>
      <c r="H43" s="960">
        <v>6</v>
      </c>
      <c r="I43" s="960">
        <v>12</v>
      </c>
      <c r="J43" s="960">
        <v>6</v>
      </c>
      <c r="K43" s="960">
        <v>13</v>
      </c>
      <c r="L43" s="960">
        <v>12</v>
      </c>
      <c r="M43" s="960">
        <v>6</v>
      </c>
      <c r="N43" s="960">
        <v>23</v>
      </c>
      <c r="O43" s="960">
        <v>31</v>
      </c>
      <c r="P43" s="960">
        <v>12</v>
      </c>
      <c r="Q43" s="960">
        <v>6</v>
      </c>
      <c r="R43" s="960">
        <v>12</v>
      </c>
      <c r="S43" s="960">
        <v>13</v>
      </c>
      <c r="T43" s="960">
        <v>13</v>
      </c>
      <c r="U43" s="1161">
        <v>6</v>
      </c>
      <c r="V43" s="1060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s="9" customFormat="1" ht="16.5" customHeight="1" x14ac:dyDescent="0.2">
      <c r="A44" s="405"/>
      <c r="B44" s="406"/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9" customFormat="1" ht="16.5" customHeight="1" x14ac:dyDescent="0.2">
      <c r="A45" s="9" t="s">
        <v>89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ht="16.5" customHeight="1" x14ac:dyDescent="0.2">
      <c r="A46" s="962" t="s">
        <v>83</v>
      </c>
      <c r="B46" s="937"/>
      <c r="C46" s="937"/>
      <c r="D46" s="937"/>
      <c r="F46" s="106"/>
      <c r="M46" s="106"/>
      <c r="N46" s="106"/>
      <c r="P46" s="106"/>
      <c r="Q46" s="106"/>
      <c r="R46" s="106"/>
      <c r="S46" s="106"/>
      <c r="T46" s="106"/>
      <c r="U46" s="106"/>
    </row>
    <row r="47" spans="1:57" ht="16.5" customHeight="1" x14ac:dyDescent="0.2">
      <c r="A47" s="962" t="s">
        <v>87</v>
      </c>
      <c r="B47" s="937"/>
      <c r="C47" s="937"/>
      <c r="D47" s="937"/>
      <c r="F47" s="106"/>
      <c r="M47" s="106"/>
      <c r="N47" s="106"/>
      <c r="P47" s="106"/>
      <c r="Q47" s="106"/>
      <c r="R47" s="106"/>
      <c r="S47" s="106"/>
      <c r="T47" s="106"/>
      <c r="U47" s="106"/>
    </row>
    <row r="48" spans="1:57" ht="16.5" customHeight="1" x14ac:dyDescent="0.2">
      <c r="A48" s="962" t="s">
        <v>72</v>
      </c>
      <c r="B48" s="937"/>
      <c r="C48" s="937"/>
      <c r="D48" s="937"/>
      <c r="O48" s="106"/>
      <c r="P48" s="106"/>
      <c r="R48" s="106"/>
      <c r="S48" s="106"/>
      <c r="T48" s="106"/>
      <c r="U48" s="106"/>
    </row>
    <row r="49" spans="1:21" ht="16.5" customHeight="1" x14ac:dyDescent="0.2">
      <c r="A49" s="962" t="s">
        <v>73</v>
      </c>
      <c r="B49" s="937"/>
      <c r="C49" s="937"/>
      <c r="D49" s="937"/>
      <c r="O49" s="106"/>
      <c r="P49" s="106"/>
      <c r="R49" s="106"/>
      <c r="S49" s="106"/>
      <c r="T49" s="106"/>
      <c r="U49" s="106"/>
    </row>
    <row r="50" spans="1:21" ht="16.5" customHeight="1" x14ac:dyDescent="0.2">
      <c r="A50" s="6" t="s">
        <v>75</v>
      </c>
      <c r="B50" s="111"/>
      <c r="C50" s="111"/>
      <c r="D50" s="111"/>
    </row>
    <row r="51" spans="1:21" ht="16.5" customHeight="1" x14ac:dyDescent="0.2">
      <c r="A51" s="963" t="s">
        <v>143</v>
      </c>
    </row>
  </sheetData>
  <printOptions horizontalCentered="1" verticalCentered="1"/>
  <pageMargins left="0.39370078740157483" right="0.39370078740157483" top="0.39370078740157483" bottom="0.39370078740157483" header="0.19685039370078741" footer="0.15748031496062992"/>
  <pageSetup paperSize="8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41"/>
  <sheetViews>
    <sheetView zoomScale="96" zoomScaleNormal="96" workbookViewId="0">
      <selection activeCell="I20" sqref="I20"/>
    </sheetView>
  </sheetViews>
  <sheetFormatPr defaultColWidth="9.140625" defaultRowHeight="12.75" x14ac:dyDescent="0.2"/>
  <cols>
    <col min="1" max="1" width="43.85546875" style="9" customWidth="1"/>
    <col min="2" max="2" width="10" style="111" customWidth="1"/>
    <col min="3" max="3" width="9.42578125" style="111" customWidth="1"/>
    <col min="4" max="15" width="8.7109375" style="111" customWidth="1"/>
    <col min="16" max="16" width="8.140625" style="111" customWidth="1"/>
    <col min="17" max="17" width="4.85546875" style="6" customWidth="1"/>
    <col min="18" max="18" width="9.140625" style="6"/>
    <col min="19" max="20" width="9.28515625" style="6" customWidth="1"/>
    <col min="21" max="35" width="9.140625" style="6"/>
    <col min="36" max="16384" width="9.140625" style="9"/>
  </cols>
  <sheetData>
    <row r="1" spans="1:35" s="68" customFormat="1" ht="15" x14ac:dyDescent="0.25">
      <c r="A1" s="66" t="s">
        <v>200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</row>
    <row r="2" spans="1:35" s="68" customFormat="1" ht="12" customHeight="1" thickBot="1" x14ac:dyDescent="0.3">
      <c r="A2" s="70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</row>
    <row r="3" spans="1:35" ht="98.25" customHeight="1" x14ac:dyDescent="0.2">
      <c r="A3" s="393"/>
      <c r="B3" s="171" t="s">
        <v>176</v>
      </c>
      <c r="C3" s="171" t="s">
        <v>109</v>
      </c>
      <c r="D3" s="1052" t="s">
        <v>101</v>
      </c>
      <c r="E3" s="1053" t="s">
        <v>202</v>
      </c>
      <c r="F3" s="1054" t="s">
        <v>41</v>
      </c>
      <c r="G3" s="1053" t="s">
        <v>39</v>
      </c>
      <c r="H3" s="1053" t="s">
        <v>40</v>
      </c>
      <c r="I3" s="815" t="s">
        <v>43</v>
      </c>
      <c r="J3" s="815" t="s">
        <v>42</v>
      </c>
      <c r="K3" s="815" t="s">
        <v>44</v>
      </c>
      <c r="L3" s="1053" t="s">
        <v>273</v>
      </c>
      <c r="M3" s="815" t="s">
        <v>162</v>
      </c>
      <c r="N3" s="23" t="s">
        <v>46</v>
      </c>
      <c r="O3" s="23" t="s">
        <v>45</v>
      </c>
      <c r="P3" s="1140" t="s">
        <v>106</v>
      </c>
      <c r="Q3" s="1060"/>
    </row>
    <row r="4" spans="1:35" ht="22.15" customHeight="1" x14ac:dyDescent="0.2">
      <c r="A4" s="50" t="s">
        <v>31</v>
      </c>
      <c r="B4" s="1176" t="s">
        <v>6</v>
      </c>
      <c r="C4" s="1176" t="s">
        <v>6</v>
      </c>
      <c r="D4" s="996" t="s">
        <v>2</v>
      </c>
      <c r="E4" s="790" t="s">
        <v>4</v>
      </c>
      <c r="F4" s="790" t="s">
        <v>2</v>
      </c>
      <c r="G4" s="790" t="s">
        <v>5</v>
      </c>
      <c r="H4" s="790" t="s">
        <v>2</v>
      </c>
      <c r="I4" s="790" t="s">
        <v>2</v>
      </c>
      <c r="J4" s="790" t="s">
        <v>2</v>
      </c>
      <c r="K4" s="790" t="s">
        <v>2</v>
      </c>
      <c r="L4" s="790" t="s">
        <v>3</v>
      </c>
      <c r="M4" s="790" t="s">
        <v>3</v>
      </c>
      <c r="N4" s="24" t="s">
        <v>2</v>
      </c>
      <c r="O4" s="24" t="s">
        <v>2</v>
      </c>
      <c r="P4" s="652" t="s">
        <v>2</v>
      </c>
      <c r="Q4" s="1060"/>
    </row>
    <row r="5" spans="1:35" ht="18.75" customHeight="1" x14ac:dyDescent="0.2">
      <c r="A5" s="395" t="s">
        <v>13</v>
      </c>
      <c r="B5" s="1175" t="s">
        <v>6</v>
      </c>
      <c r="C5" s="1175" t="s">
        <v>6</v>
      </c>
      <c r="D5" s="626">
        <v>139.626</v>
      </c>
      <c r="E5" s="627">
        <v>140.13</v>
      </c>
      <c r="F5" s="627">
        <v>141.464</v>
      </c>
      <c r="G5" s="627">
        <v>141.84199999999998</v>
      </c>
      <c r="H5" s="627">
        <v>141.94400000000002</v>
      </c>
      <c r="I5" s="627">
        <v>142.51499999999999</v>
      </c>
      <c r="J5" s="627">
        <v>142.678</v>
      </c>
      <c r="K5" s="627">
        <v>143.42599999999999</v>
      </c>
      <c r="L5" s="627">
        <v>143.453</v>
      </c>
      <c r="M5" s="627">
        <v>144.346</v>
      </c>
      <c r="N5" s="627">
        <v>144.63400000000001</v>
      </c>
      <c r="O5" s="627">
        <v>144.685</v>
      </c>
      <c r="P5" s="1141">
        <v>145.316</v>
      </c>
      <c r="Q5" s="1060"/>
    </row>
    <row r="6" spans="1:35" s="27" customFormat="1" ht="18" customHeight="1" x14ac:dyDescent="0.2">
      <c r="A6" s="272" t="s">
        <v>108</v>
      </c>
      <c r="B6" s="273"/>
      <c r="C6" s="273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559"/>
    </row>
    <row r="7" spans="1:35" s="264" customFormat="1" ht="16.5" customHeight="1" x14ac:dyDescent="0.2">
      <c r="A7" s="827" t="s">
        <v>319</v>
      </c>
      <c r="B7" s="463">
        <v>100</v>
      </c>
      <c r="C7" s="463">
        <v>100.11861624777328</v>
      </c>
      <c r="D7" s="682">
        <v>99.697405682058388</v>
      </c>
      <c r="E7" s="135">
        <v>99.012053092983649</v>
      </c>
      <c r="F7" s="683">
        <v>99.267756693088629</v>
      </c>
      <c r="G7" s="135">
        <v>100.74330819339696</v>
      </c>
      <c r="H7" s="135">
        <v>98.643889867443434</v>
      </c>
      <c r="I7" s="136">
        <v>99.282142950134627</v>
      </c>
      <c r="J7" s="136">
        <v>101.99921759138111</v>
      </c>
      <c r="K7" s="136">
        <v>98.794619413977799</v>
      </c>
      <c r="L7" s="135">
        <v>102.43870266530809</v>
      </c>
      <c r="M7" s="136">
        <v>101.1368732295457</v>
      </c>
      <c r="N7" s="136">
        <v>100.42807438107445</v>
      </c>
      <c r="O7" s="136">
        <v>102.12249874510249</v>
      </c>
      <c r="P7" s="137">
        <v>100.83194090569847</v>
      </c>
      <c r="Q7" s="559"/>
      <c r="R7" s="27"/>
      <c r="S7" s="477"/>
      <c r="T7" s="47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s="210" customFormat="1" ht="17.25" customHeight="1" x14ac:dyDescent="0.2">
      <c r="A8" s="809" t="s">
        <v>321</v>
      </c>
      <c r="B8" s="428">
        <v>100</v>
      </c>
      <c r="C8" s="428">
        <v>99.925324672646994</v>
      </c>
      <c r="D8" s="684">
        <v>98.969268520573891</v>
      </c>
      <c r="E8" s="126">
        <v>100.97565211176233</v>
      </c>
      <c r="F8" s="685">
        <v>100.43392387225292</v>
      </c>
      <c r="G8" s="126">
        <v>95.143194035536879</v>
      </c>
      <c r="H8" s="126">
        <v>100.92643163768484</v>
      </c>
      <c r="I8" s="125">
        <v>98.785945562375787</v>
      </c>
      <c r="J8" s="125">
        <v>98.971287304483639</v>
      </c>
      <c r="K8" s="125">
        <v>101.94951203740246</v>
      </c>
      <c r="L8" s="126">
        <v>103.47075241491591</v>
      </c>
      <c r="M8" s="125">
        <v>100.16517338721958</v>
      </c>
      <c r="N8" s="125">
        <v>99.514501144669552</v>
      </c>
      <c r="O8" s="125">
        <v>101.83581695747856</v>
      </c>
      <c r="P8" s="127">
        <v>97.941235016901388</v>
      </c>
      <c r="Q8" s="559"/>
      <c r="R8" s="27"/>
      <c r="S8" s="477"/>
      <c r="T8" s="47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210" customFormat="1" ht="17.25" customHeight="1" x14ac:dyDescent="0.2">
      <c r="A9" s="809" t="s">
        <v>312</v>
      </c>
      <c r="B9" s="428">
        <v>100</v>
      </c>
      <c r="C9" s="829">
        <v>100.03565871937521</v>
      </c>
      <c r="D9" s="684">
        <v>99.346821122825105</v>
      </c>
      <c r="E9" s="126">
        <v>99.993852602372996</v>
      </c>
      <c r="F9" s="685">
        <v>99.835889421399443</v>
      </c>
      <c r="G9" s="126">
        <v>97.943251114466918</v>
      </c>
      <c r="H9" s="126">
        <v>99.735540279298021</v>
      </c>
      <c r="I9" s="125">
        <v>99.0340442562552</v>
      </c>
      <c r="J9" s="125">
        <v>100.58188852091847</v>
      </c>
      <c r="K9" s="125">
        <v>100.37206572569012</v>
      </c>
      <c r="L9" s="126">
        <v>102.954727540112</v>
      </c>
      <c r="M9" s="125">
        <v>100.65102330838265</v>
      </c>
      <c r="N9" s="125">
        <v>99.951427475124078</v>
      </c>
      <c r="O9" s="125">
        <v>101.97342421553805</v>
      </c>
      <c r="P9" s="127">
        <v>99.489827457328403</v>
      </c>
      <c r="Q9" s="559"/>
      <c r="R9" s="27"/>
      <c r="S9" s="477"/>
      <c r="T9" s="47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210" customFormat="1" ht="17.25" customHeight="1" x14ac:dyDescent="0.2">
      <c r="A10" s="809" t="s">
        <v>314</v>
      </c>
      <c r="B10" s="428">
        <v>100</v>
      </c>
      <c r="C10" s="428">
        <v>95.513135346734444</v>
      </c>
      <c r="D10" s="717">
        <v>92.993089335460823</v>
      </c>
      <c r="E10" s="717">
        <v>104.28428483672901</v>
      </c>
      <c r="F10" s="717">
        <v>100.77173729423892</v>
      </c>
      <c r="G10" s="717">
        <v>91.616288538970011</v>
      </c>
      <c r="H10" s="717">
        <v>103.60771405783873</v>
      </c>
      <c r="I10" s="717">
        <v>97.114253802013934</v>
      </c>
      <c r="J10" s="717">
        <v>93.499283418052755</v>
      </c>
      <c r="K10" s="717">
        <v>92.568469874117824</v>
      </c>
      <c r="L10" s="717">
        <v>100.66414490291247</v>
      </c>
      <c r="M10" s="717">
        <v>98.738227250081664</v>
      </c>
      <c r="N10" s="717">
        <v>94.081123765808115</v>
      </c>
      <c r="O10" s="717">
        <v>91.842059212664395</v>
      </c>
      <c r="P10" s="684">
        <v>93.140487360414383</v>
      </c>
      <c r="Q10" s="559"/>
      <c r="R10" s="27"/>
      <c r="S10" s="477"/>
      <c r="T10" s="47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210" customFormat="1" ht="30" customHeight="1" x14ac:dyDescent="0.2">
      <c r="A11" s="832" t="s">
        <v>320</v>
      </c>
      <c r="B11" s="231">
        <v>100</v>
      </c>
      <c r="C11" s="231">
        <v>98.964204404713584</v>
      </c>
      <c r="D11" s="658">
        <v>99.91499278378339</v>
      </c>
      <c r="E11" s="232">
        <v>96.168967273376893</v>
      </c>
      <c r="F11" s="659">
        <v>96.162073214088593</v>
      </c>
      <c r="G11" s="232">
        <v>99.144841650172964</v>
      </c>
      <c r="H11" s="232">
        <v>96.684093382436487</v>
      </c>
      <c r="I11" s="233">
        <v>98.421485142766016</v>
      </c>
      <c r="J11" s="233">
        <v>100.62591086639749</v>
      </c>
      <c r="K11" s="233">
        <v>98.399593148910867</v>
      </c>
      <c r="L11" s="232">
        <v>101.52600587665859</v>
      </c>
      <c r="M11" s="233">
        <v>95.946958416411661</v>
      </c>
      <c r="N11" s="233">
        <v>98.353362293965318</v>
      </c>
      <c r="O11" s="233">
        <v>101.19740197139214</v>
      </c>
      <c r="P11" s="238">
        <v>100.91892683868201</v>
      </c>
      <c r="Q11" s="559"/>
      <c r="R11" s="27"/>
      <c r="S11" s="477"/>
      <c r="T11" s="47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79" customFormat="1" ht="18" customHeight="1" x14ac:dyDescent="0.2">
      <c r="A12" s="396" t="s">
        <v>38</v>
      </c>
      <c r="B12" s="274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1130"/>
      <c r="R12" s="269"/>
      <c r="S12" s="477"/>
      <c r="T12" s="47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</row>
    <row r="13" spans="1:35" s="210" customFormat="1" ht="17.25" customHeight="1" x14ac:dyDescent="0.2">
      <c r="A13" s="826" t="s">
        <v>315</v>
      </c>
      <c r="B13" s="463">
        <v>100</v>
      </c>
      <c r="C13" s="463">
        <v>101.00479776400982</v>
      </c>
      <c r="D13" s="682">
        <v>101.01111382952719</v>
      </c>
      <c r="E13" s="135">
        <v>110.67356526827182</v>
      </c>
      <c r="F13" s="683">
        <v>103.63107279870418</v>
      </c>
      <c r="G13" s="135">
        <v>97.601287306864975</v>
      </c>
      <c r="H13" s="135">
        <v>101.43285598415378</v>
      </c>
      <c r="I13" s="136">
        <v>103.9129053074402</v>
      </c>
      <c r="J13" s="135">
        <v>99.124634192064946</v>
      </c>
      <c r="K13" s="136">
        <v>103.21648622676771</v>
      </c>
      <c r="L13" s="135">
        <v>110.04660876753988</v>
      </c>
      <c r="M13" s="136">
        <v>105.96575178005055</v>
      </c>
      <c r="N13" s="136">
        <v>100.09912772015981</v>
      </c>
      <c r="O13" s="136">
        <v>98.542978363592496</v>
      </c>
      <c r="P13" s="366">
        <v>98.072005453678045</v>
      </c>
      <c r="Q13" s="559"/>
      <c r="R13" s="27"/>
      <c r="S13" s="477"/>
      <c r="T13" s="47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s="210" customFormat="1" ht="18" customHeight="1" x14ac:dyDescent="0.2">
      <c r="A14" s="397" t="s">
        <v>17</v>
      </c>
      <c r="B14" s="276"/>
      <c r="C14" s="276"/>
      <c r="D14" s="662"/>
      <c r="E14" s="664"/>
      <c r="F14" s="663"/>
      <c r="G14" s="664"/>
      <c r="H14" s="664"/>
      <c r="I14" s="665"/>
      <c r="J14" s="664"/>
      <c r="K14" s="665"/>
      <c r="L14" s="664"/>
      <c r="M14" s="665"/>
      <c r="N14" s="665"/>
      <c r="O14" s="665"/>
      <c r="P14" s="663"/>
      <c r="Q14" s="559"/>
      <c r="R14" s="27"/>
      <c r="S14" s="477"/>
      <c r="T14" s="47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s="210" customFormat="1" ht="17.25" customHeight="1" x14ac:dyDescent="0.2">
      <c r="A15" s="813" t="s">
        <v>316</v>
      </c>
      <c r="B15" s="428">
        <v>100</v>
      </c>
      <c r="C15" s="428">
        <v>97.619845077251711</v>
      </c>
      <c r="D15" s="684">
        <v>102.4289178107682</v>
      </c>
      <c r="E15" s="126">
        <v>96.117327415601764</v>
      </c>
      <c r="F15" s="685">
        <v>92.934014802970964</v>
      </c>
      <c r="G15" s="126">
        <v>94.998312759748345</v>
      </c>
      <c r="H15" s="126">
        <v>97.444603584012285</v>
      </c>
      <c r="I15" s="125">
        <v>100.53068223969251</v>
      </c>
      <c r="J15" s="126">
        <v>96.965768602126417</v>
      </c>
      <c r="K15" s="125">
        <v>97.872921544691934</v>
      </c>
      <c r="L15" s="126">
        <v>96.961797059123157</v>
      </c>
      <c r="M15" s="125">
        <v>94.865123918070196</v>
      </c>
      <c r="N15" s="125">
        <v>93.582599291872157</v>
      </c>
      <c r="O15" s="125">
        <v>96.811881552597754</v>
      </c>
      <c r="P15" s="354">
        <v>100.00721626653305</v>
      </c>
      <c r="Q15" s="559"/>
      <c r="R15" s="27"/>
      <c r="S15" s="477"/>
      <c r="T15" s="47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s="210" customFormat="1" ht="17.25" customHeight="1" x14ac:dyDescent="0.2">
      <c r="A16" s="1039" t="s">
        <v>364</v>
      </c>
      <c r="B16" s="431">
        <f>65+6.36296345584343</f>
        <v>71.362963455843428</v>
      </c>
      <c r="C16" s="431">
        <f>65+6.43341697598883</f>
        <v>71.433416975988834</v>
      </c>
      <c r="D16" s="669">
        <f>65+6.06626011097471</f>
        <v>71.06626011097471</v>
      </c>
      <c r="E16" s="361">
        <f>65+5.96126234998923</f>
        <v>70.961262349989227</v>
      </c>
      <c r="F16" s="686">
        <f>65+6.86105390507238</f>
        <v>71.861053905072382</v>
      </c>
      <c r="G16" s="361">
        <f>65+7.61187139614785</f>
        <v>72.611871396147848</v>
      </c>
      <c r="H16" s="361">
        <f>65+5.55953135704549</f>
        <v>70.559531357045486</v>
      </c>
      <c r="I16" s="666">
        <f>65+5.42224408537641</f>
        <v>70.422244085376406</v>
      </c>
      <c r="J16" s="361">
        <f>65+6.73454171071874</f>
        <v>71.734541710718744</v>
      </c>
      <c r="K16" s="666">
        <f>65+6.46629959137481</f>
        <v>71.466299591374806</v>
      </c>
      <c r="L16" s="361">
        <f>65+6.9429290166559</f>
        <v>71.942929016655896</v>
      </c>
      <c r="M16" s="666">
        <f>65+5.5884178423233</f>
        <v>70.588417842323295</v>
      </c>
      <c r="N16" s="666">
        <f>65+7.27512146534504</f>
        <v>72.275121465345038</v>
      </c>
      <c r="O16" s="666">
        <f>65+7.07703135704547</f>
        <v>72.07703135704547</v>
      </c>
      <c r="P16" s="360">
        <f>65+6.43866920094652</f>
        <v>71.438669200946521</v>
      </c>
      <c r="Q16" s="559"/>
      <c r="R16" s="27"/>
      <c r="S16" s="477"/>
      <c r="T16" s="47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210" customFormat="1" ht="17.25" customHeight="1" x14ac:dyDescent="0.2">
      <c r="A17" s="813" t="s">
        <v>317</v>
      </c>
      <c r="B17" s="428">
        <v>100</v>
      </c>
      <c r="C17" s="428">
        <v>100.76892132993481</v>
      </c>
      <c r="D17" s="684">
        <v>98.159750969391183</v>
      </c>
      <c r="E17" s="126">
        <v>98.735609358949006</v>
      </c>
      <c r="F17" s="685">
        <v>100.77200488891117</v>
      </c>
      <c r="G17" s="126">
        <v>105.96764534852019</v>
      </c>
      <c r="H17" s="126">
        <v>98.498332044236392</v>
      </c>
      <c r="I17" s="125">
        <v>95.358224169431907</v>
      </c>
      <c r="J17" s="126">
        <v>104.80809219731978</v>
      </c>
      <c r="K17" s="125">
        <v>97.085025329008445</v>
      </c>
      <c r="L17" s="126">
        <v>107.35326536085307</v>
      </c>
      <c r="M17" s="125">
        <v>102.81897312873518</v>
      </c>
      <c r="N17" s="125">
        <v>104.56835783300845</v>
      </c>
      <c r="O17" s="125">
        <v>105.51198585518202</v>
      </c>
      <c r="P17" s="354">
        <v>102.15851868292408</v>
      </c>
      <c r="Q17" s="559"/>
      <c r="R17" s="27"/>
      <c r="S17" s="477"/>
      <c r="T17" s="47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433" customFormat="1" ht="17.25" customHeight="1" x14ac:dyDescent="0.2">
      <c r="A18" s="1040" t="s">
        <v>365</v>
      </c>
      <c r="B18" s="431">
        <f>65+2.32931292974234</f>
        <v>67.329312929742343</v>
      </c>
      <c r="C18" s="431">
        <f>65+2.12681018734828</f>
        <v>67.126810187348283</v>
      </c>
      <c r="D18" s="669">
        <f>65+1.71508061271291</f>
        <v>66.71508061271291</v>
      </c>
      <c r="E18" s="361">
        <f>65+0.966749821066799</f>
        <v>65.966749821066799</v>
      </c>
      <c r="F18" s="686">
        <f>65+2.039173020833</f>
        <v>67.039173020833005</v>
      </c>
      <c r="G18" s="361">
        <f>65+1.79524594344426</f>
        <v>66.795245943444257</v>
      </c>
      <c r="H18" s="361">
        <f>65+2.0849985221359</f>
        <v>67.084998522135905</v>
      </c>
      <c r="I18" s="666">
        <f>65+2.16602634662199</f>
        <v>67.16602634662199</v>
      </c>
      <c r="J18" s="361">
        <f>65+2.61858555008315</f>
        <v>67.618585550083154</v>
      </c>
      <c r="K18" s="666">
        <f>65+1.93237893399338</f>
        <v>66.932378933993377</v>
      </c>
      <c r="L18" s="361">
        <f>65+2.78341648773346</f>
        <v>67.783416487733462</v>
      </c>
      <c r="M18" s="666">
        <f>65+1.51414946478896</f>
        <v>66.514149464788957</v>
      </c>
      <c r="N18" s="666">
        <f>65+1.93341428370775</f>
        <v>66.933414283707748</v>
      </c>
      <c r="O18" s="666">
        <f>65+2.10544252187013</f>
        <v>67.105442521870131</v>
      </c>
      <c r="P18" s="360">
        <f>65+2.54619189417622</f>
        <v>67.546191894176218</v>
      </c>
      <c r="Q18" s="638"/>
      <c r="R18" s="432"/>
      <c r="S18" s="477"/>
      <c r="T18" s="477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</row>
    <row r="19" spans="1:35" s="210" customFormat="1" ht="17.25" customHeight="1" x14ac:dyDescent="0.2">
      <c r="A19" s="828" t="s">
        <v>318</v>
      </c>
      <c r="B19" s="466">
        <v>100</v>
      </c>
      <c r="C19" s="466">
        <v>102.04587168499778</v>
      </c>
      <c r="D19" s="687">
        <v>97.346788580845697</v>
      </c>
      <c r="E19" s="656">
        <v>99.034981134190531</v>
      </c>
      <c r="F19" s="688">
        <v>104.00658922586814</v>
      </c>
      <c r="G19" s="656">
        <v>104.0267626443744</v>
      </c>
      <c r="H19" s="656">
        <v>99.262496418304863</v>
      </c>
      <c r="I19" s="655">
        <v>99.214101583042094</v>
      </c>
      <c r="J19" s="656">
        <v>106.14180661110521</v>
      </c>
      <c r="K19" s="655">
        <v>99.774343349514979</v>
      </c>
      <c r="L19" s="656">
        <v>102.67215587340094</v>
      </c>
      <c r="M19" s="655">
        <v>105.39317111317683</v>
      </c>
      <c r="N19" s="655">
        <v>104.94947033005204</v>
      </c>
      <c r="O19" s="655">
        <v>106.3912510591294</v>
      </c>
      <c r="P19" s="1142">
        <v>101.32599800711753</v>
      </c>
      <c r="Q19" s="559"/>
      <c r="R19" s="27"/>
      <c r="S19" s="477"/>
      <c r="T19" s="47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206" customFormat="1" ht="18" customHeight="1" x14ac:dyDescent="0.2">
      <c r="A20" s="398" t="s">
        <v>18</v>
      </c>
      <c r="B20" s="261"/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559"/>
      <c r="R20" s="27"/>
      <c r="S20" s="477"/>
      <c r="T20" s="47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27" customFormat="1" ht="17.25" customHeight="1" x14ac:dyDescent="0.2">
      <c r="A21" s="392" t="s">
        <v>131</v>
      </c>
      <c r="B21" s="430">
        <v>54.809130473362146</v>
      </c>
      <c r="C21" s="430">
        <v>55.429139423961111</v>
      </c>
      <c r="D21" s="696">
        <v>53.21401017248791</v>
      </c>
      <c r="E21" s="657">
        <v>56.149925934799825</v>
      </c>
      <c r="F21" s="697">
        <v>55.618625452033875</v>
      </c>
      <c r="G21" s="657">
        <v>53.175792571989952</v>
      </c>
      <c r="H21" s="657">
        <v>54.829837993827503</v>
      </c>
      <c r="I21" s="674">
        <v>56.414462010501069</v>
      </c>
      <c r="J21" s="674">
        <v>58.387413979838257</v>
      </c>
      <c r="K21" s="674">
        <v>55.916856060857768</v>
      </c>
      <c r="L21" s="657">
        <v>57.362425934799816</v>
      </c>
      <c r="M21" s="674">
        <v>58.284894947425769</v>
      </c>
      <c r="N21" s="674">
        <v>55.256627983725522</v>
      </c>
      <c r="O21" s="674">
        <v>55.218754660494177</v>
      </c>
      <c r="P21" s="1124">
        <v>54.00566650188393</v>
      </c>
      <c r="Q21" s="559"/>
      <c r="S21" s="477"/>
      <c r="T21" s="477"/>
    </row>
    <row r="22" spans="1:35" s="27" customFormat="1" ht="17.25" customHeight="1" x14ac:dyDescent="0.2">
      <c r="A22" s="436" t="s">
        <v>129</v>
      </c>
      <c r="B22" s="428">
        <v>51.988616300989321</v>
      </c>
      <c r="C22" s="428">
        <v>52.773864871265232</v>
      </c>
      <c r="D22" s="684">
        <v>48.135136176250647</v>
      </c>
      <c r="E22" s="126">
        <v>55.088945373095584</v>
      </c>
      <c r="F22" s="685">
        <v>54.516494924854541</v>
      </c>
      <c r="G22" s="126">
        <v>49.584575207880995</v>
      </c>
      <c r="H22" s="126">
        <v>52.211581242414901</v>
      </c>
      <c r="I22" s="125">
        <v>52.346195017704083</v>
      </c>
      <c r="J22" s="125">
        <v>56.085748936690734</v>
      </c>
      <c r="K22" s="125">
        <v>55.278195476079581</v>
      </c>
      <c r="L22" s="126">
        <v>56.588945373095576</v>
      </c>
      <c r="M22" s="125">
        <v>54.746793531412997</v>
      </c>
      <c r="N22" s="125">
        <v>52.916650329131322</v>
      </c>
      <c r="O22" s="125">
        <v>53.654155400867637</v>
      </c>
      <c r="P22" s="127">
        <v>49.820626337393705</v>
      </c>
      <c r="Q22" s="559"/>
      <c r="S22" s="477"/>
      <c r="T22" s="477"/>
    </row>
    <row r="23" spans="1:35" s="264" customFormat="1" ht="17.25" customHeight="1" x14ac:dyDescent="0.2">
      <c r="A23" s="468" t="s">
        <v>130</v>
      </c>
      <c r="B23" s="1011">
        <v>3.8523274790019002</v>
      </c>
      <c r="C23" s="469">
        <v>3.933208081740319</v>
      </c>
      <c r="D23" s="693">
        <v>3.4554190261538165</v>
      </c>
      <c r="E23" s="680">
        <v>4.1716613734288455</v>
      </c>
      <c r="F23" s="694">
        <v>4.1126989772600169</v>
      </c>
      <c r="G23" s="680">
        <v>3.6047112464117421</v>
      </c>
      <c r="H23" s="680">
        <v>3.8752928679687346</v>
      </c>
      <c r="I23" s="681">
        <v>3.8891580868235205</v>
      </c>
      <c r="J23" s="681">
        <v>4.2743321404791459</v>
      </c>
      <c r="K23" s="681">
        <v>4.1911541340361964</v>
      </c>
      <c r="L23" s="680">
        <v>4.3261613734288442</v>
      </c>
      <c r="M23" s="681">
        <v>4.1364197337355382</v>
      </c>
      <c r="N23" s="681">
        <v>3.9479149839005259</v>
      </c>
      <c r="O23" s="681">
        <v>4.0238780062893671</v>
      </c>
      <c r="P23" s="1134">
        <v>3.6290245127515512</v>
      </c>
      <c r="Q23" s="559"/>
      <c r="R23" s="27"/>
      <c r="S23" s="477"/>
      <c r="T23" s="47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218" customFormat="1" ht="17.25" customHeight="1" x14ac:dyDescent="0.2">
      <c r="A24" s="470" t="s">
        <v>7</v>
      </c>
      <c r="B24" s="467">
        <v>7.0278971090052007</v>
      </c>
      <c r="C24" s="467">
        <v>6.9642093084910988</v>
      </c>
      <c r="D24" s="690">
        <v>6.8963356403135476</v>
      </c>
      <c r="E24" s="1010" t="s">
        <v>6</v>
      </c>
      <c r="F24" s="691">
        <v>7.1848495496967457</v>
      </c>
      <c r="G24" s="692">
        <v>7.2369528799331135</v>
      </c>
      <c r="H24" s="692">
        <v>6.6346332004601498</v>
      </c>
      <c r="I24" s="444">
        <v>6.8162331706053907</v>
      </c>
      <c r="J24" s="444">
        <v>7.056140779726646</v>
      </c>
      <c r="K24" s="444">
        <v>7.4055659320872254</v>
      </c>
      <c r="L24" s="1010" t="s">
        <v>6</v>
      </c>
      <c r="M24" s="825" t="s">
        <v>170</v>
      </c>
      <c r="N24" s="444">
        <v>7.06097791140279</v>
      </c>
      <c r="O24" s="444">
        <v>6.874415523681944</v>
      </c>
      <c r="P24" s="1143">
        <v>6.7487320684454577</v>
      </c>
      <c r="Q24" s="559"/>
      <c r="R24" s="27"/>
      <c r="S24" s="477"/>
      <c r="T24" s="47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270" customFormat="1" ht="18" customHeight="1" x14ac:dyDescent="0.2">
      <c r="A25" s="399" t="s">
        <v>19</v>
      </c>
      <c r="B25" s="266"/>
      <c r="C25" s="266"/>
      <c r="D25" s="275"/>
      <c r="E25" s="267"/>
      <c r="F25" s="275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1130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s="471" customFormat="1" ht="17.25" customHeight="1" x14ac:dyDescent="0.2">
      <c r="A26" s="400" t="s">
        <v>32</v>
      </c>
      <c r="B26" s="380">
        <v>5.0464285714285726</v>
      </c>
      <c r="C26" s="380">
        <v>5.0666666666666673</v>
      </c>
      <c r="D26" s="667">
        <v>6.2</v>
      </c>
      <c r="E26" s="817" t="s">
        <v>6</v>
      </c>
      <c r="F26" s="385">
        <v>3.3</v>
      </c>
      <c r="G26" s="747">
        <v>3.8</v>
      </c>
      <c r="H26" s="385">
        <v>3.8</v>
      </c>
      <c r="I26" s="748">
        <v>7.4</v>
      </c>
      <c r="J26" s="748">
        <v>4.55</v>
      </c>
      <c r="K26" s="748">
        <v>3.8</v>
      </c>
      <c r="L26" s="817" t="s">
        <v>6</v>
      </c>
      <c r="M26" s="820" t="s">
        <v>6</v>
      </c>
      <c r="N26" s="748">
        <v>5.7</v>
      </c>
      <c r="O26" s="748">
        <v>5.35</v>
      </c>
      <c r="P26" s="1136">
        <v>5.5</v>
      </c>
      <c r="Q26" s="1130"/>
      <c r="R26" s="751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</row>
    <row r="27" spans="1:35" s="471" customFormat="1" ht="17.25" customHeight="1" x14ac:dyDescent="0.2">
      <c r="A27" s="400" t="s">
        <v>10</v>
      </c>
      <c r="B27" s="380">
        <v>6.9607142857142863</v>
      </c>
      <c r="C27" s="380">
        <v>7.1166666666666663</v>
      </c>
      <c r="D27" s="667">
        <v>6.75</v>
      </c>
      <c r="E27" s="817" t="s">
        <v>146</v>
      </c>
      <c r="F27" s="385">
        <v>7.05</v>
      </c>
      <c r="G27" s="749">
        <v>6.8</v>
      </c>
      <c r="H27" s="385">
        <v>7.3</v>
      </c>
      <c r="I27" s="385">
        <v>6.45</v>
      </c>
      <c r="J27" s="385">
        <v>7.5</v>
      </c>
      <c r="K27" s="385">
        <v>7.65</v>
      </c>
      <c r="L27" s="817" t="s">
        <v>324</v>
      </c>
      <c r="M27" s="817" t="s">
        <v>6</v>
      </c>
      <c r="N27" s="385">
        <v>7.45</v>
      </c>
      <c r="O27" s="385">
        <v>6.9</v>
      </c>
      <c r="P27" s="1136">
        <v>7</v>
      </c>
      <c r="Q27" s="1130"/>
      <c r="R27" s="751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</row>
    <row r="28" spans="1:35" s="472" customFormat="1" ht="17.25" customHeight="1" x14ac:dyDescent="0.2">
      <c r="A28" s="401" t="s">
        <v>105</v>
      </c>
      <c r="B28" s="380">
        <v>7.0499999999999989</v>
      </c>
      <c r="C28" s="380">
        <v>6.7777777777777768</v>
      </c>
      <c r="D28" s="669">
        <v>7.3</v>
      </c>
      <c r="E28" s="817" t="s">
        <v>6</v>
      </c>
      <c r="F28" s="385">
        <v>6.65</v>
      </c>
      <c r="G28" s="749">
        <v>7.95</v>
      </c>
      <c r="H28" s="385">
        <v>7</v>
      </c>
      <c r="I28" s="385">
        <v>6.6</v>
      </c>
      <c r="J28" s="385">
        <v>5.2</v>
      </c>
      <c r="K28" s="385">
        <v>8.0500000000000007</v>
      </c>
      <c r="L28" s="817" t="s">
        <v>6</v>
      </c>
      <c r="M28" s="817" t="s">
        <v>170</v>
      </c>
      <c r="N28" s="385">
        <v>4.55</v>
      </c>
      <c r="O28" s="385">
        <v>7.9</v>
      </c>
      <c r="P28" s="1136">
        <v>7.75</v>
      </c>
      <c r="Q28" s="1130"/>
      <c r="R28" s="751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</row>
    <row r="29" spans="1:35" s="471" customFormat="1" ht="17.25" customHeight="1" x14ac:dyDescent="0.2">
      <c r="A29" s="402" t="s">
        <v>8</v>
      </c>
      <c r="B29" s="380">
        <v>7.6607142857142847</v>
      </c>
      <c r="C29" s="380">
        <v>7.4777777777777779</v>
      </c>
      <c r="D29" s="670">
        <v>7.55</v>
      </c>
      <c r="E29" s="387">
        <v>8.4</v>
      </c>
      <c r="F29" s="387">
        <v>7.1</v>
      </c>
      <c r="G29" s="750">
        <v>1.5</v>
      </c>
      <c r="H29" s="387">
        <v>7.95</v>
      </c>
      <c r="I29" s="387">
        <v>8.5</v>
      </c>
      <c r="J29" s="390">
        <v>7.05</v>
      </c>
      <c r="K29" s="387">
        <v>8</v>
      </c>
      <c r="L29" s="387">
        <v>8.3000000000000007</v>
      </c>
      <c r="M29" s="387">
        <v>7.95</v>
      </c>
      <c r="N29" s="387">
        <v>7.7</v>
      </c>
      <c r="O29" s="387">
        <v>7.25</v>
      </c>
      <c r="P29" s="1138">
        <v>6.2</v>
      </c>
      <c r="Q29" s="1130"/>
      <c r="R29" s="751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</row>
    <row r="30" spans="1:35" s="172" customFormat="1" ht="9" customHeight="1" x14ac:dyDescent="0.2">
      <c r="A30" s="403"/>
      <c r="B30" s="94"/>
      <c r="C30" s="94"/>
      <c r="D30" s="81"/>
      <c r="E30" s="255"/>
      <c r="F30" s="81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1147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</row>
    <row r="31" spans="1:35" s="270" customFormat="1" ht="17.25" customHeight="1" x14ac:dyDescent="0.2">
      <c r="A31" s="394" t="s">
        <v>11</v>
      </c>
      <c r="B31" s="290" t="s">
        <v>6</v>
      </c>
      <c r="C31" s="60" t="s">
        <v>6</v>
      </c>
      <c r="D31" s="291">
        <v>2012</v>
      </c>
      <c r="E31" s="794" t="s">
        <v>6</v>
      </c>
      <c r="F31" s="292">
        <v>2006</v>
      </c>
      <c r="G31" s="293">
        <v>1991</v>
      </c>
      <c r="H31" s="293">
        <v>2004</v>
      </c>
      <c r="I31" s="294">
        <v>2009</v>
      </c>
      <c r="J31" s="294">
        <v>2001</v>
      </c>
      <c r="K31" s="294">
        <v>2004</v>
      </c>
      <c r="L31" s="794" t="s">
        <v>6</v>
      </c>
      <c r="M31" s="294">
        <v>2019</v>
      </c>
      <c r="N31" s="294">
        <v>2005</v>
      </c>
      <c r="O31" s="294">
        <v>2005</v>
      </c>
      <c r="P31" s="1144">
        <v>2013</v>
      </c>
      <c r="Q31" s="1130"/>
      <c r="R31" s="269"/>
      <c r="S31" s="269"/>
      <c r="T31" s="269"/>
      <c r="U31" s="269"/>
      <c r="V31" s="269"/>
      <c r="W31" s="269"/>
      <c r="X31" s="269"/>
      <c r="Y31" s="269"/>
      <c r="Z31" s="269"/>
      <c r="AA31" s="269"/>
      <c r="AB31" s="269"/>
      <c r="AC31" s="269"/>
      <c r="AD31" s="269"/>
      <c r="AE31" s="269"/>
      <c r="AF31" s="269"/>
      <c r="AG31" s="269"/>
      <c r="AH31" s="269"/>
      <c r="AI31" s="269"/>
    </row>
    <row r="32" spans="1:35" s="206" customFormat="1" ht="15.75" customHeight="1" x14ac:dyDescent="0.2">
      <c r="A32" s="404" t="s">
        <v>12</v>
      </c>
      <c r="B32" s="271"/>
      <c r="C32" s="271"/>
      <c r="D32" s="280"/>
      <c r="E32" s="227"/>
      <c r="F32" s="280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559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s="264" customFormat="1" ht="15.75" customHeight="1" x14ac:dyDescent="0.2">
      <c r="A33" s="450" t="s">
        <v>36</v>
      </c>
      <c r="B33" s="451" t="s">
        <v>6</v>
      </c>
      <c r="C33" s="451" t="s">
        <v>6</v>
      </c>
      <c r="D33" s="485">
        <v>8</v>
      </c>
      <c r="E33" s="454">
        <v>3</v>
      </c>
      <c r="F33" s="486">
        <v>14</v>
      </c>
      <c r="G33" s="454">
        <v>7</v>
      </c>
      <c r="H33" s="454">
        <v>8</v>
      </c>
      <c r="I33" s="452">
        <v>12</v>
      </c>
      <c r="J33" s="454">
        <v>16</v>
      </c>
      <c r="K33" s="452">
        <v>9</v>
      </c>
      <c r="L33" s="454">
        <v>3</v>
      </c>
      <c r="M33" s="452">
        <v>6</v>
      </c>
      <c r="N33" s="452">
        <v>10</v>
      </c>
      <c r="O33" s="452">
        <v>10</v>
      </c>
      <c r="P33" s="1145">
        <v>9</v>
      </c>
      <c r="Q33" s="559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s="210" customFormat="1" ht="15.75" customHeight="1" x14ac:dyDescent="0.2">
      <c r="A34" s="455" t="s">
        <v>33</v>
      </c>
      <c r="B34" s="429" t="s">
        <v>6</v>
      </c>
      <c r="C34" s="429" t="s">
        <v>6</v>
      </c>
      <c r="D34" s="473">
        <v>14</v>
      </c>
      <c r="E34" s="458">
        <v>6</v>
      </c>
      <c r="F34" s="487">
        <v>20</v>
      </c>
      <c r="G34" s="458">
        <v>10</v>
      </c>
      <c r="H34" s="458">
        <v>12</v>
      </c>
      <c r="I34" s="456">
        <v>13</v>
      </c>
      <c r="J34" s="458">
        <v>25</v>
      </c>
      <c r="K34" s="456">
        <v>10</v>
      </c>
      <c r="L34" s="458">
        <v>6</v>
      </c>
      <c r="M34" s="456">
        <v>6</v>
      </c>
      <c r="N34" s="456">
        <v>11</v>
      </c>
      <c r="O34" s="456">
        <v>12</v>
      </c>
      <c r="P34" s="1146">
        <v>15</v>
      </c>
      <c r="Q34" s="559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s="210" customFormat="1" ht="15.75" customHeight="1" thickBot="1" x14ac:dyDescent="0.25">
      <c r="A35" s="437" t="s">
        <v>34</v>
      </c>
      <c r="B35" s="461" t="s">
        <v>6</v>
      </c>
      <c r="C35" s="461" t="s">
        <v>6</v>
      </c>
      <c r="D35" s="488">
        <v>13</v>
      </c>
      <c r="E35" s="308">
        <v>6</v>
      </c>
      <c r="F35" s="474">
        <v>19</v>
      </c>
      <c r="G35" s="308">
        <v>10</v>
      </c>
      <c r="H35" s="308">
        <v>11</v>
      </c>
      <c r="I35" s="368">
        <v>13</v>
      </c>
      <c r="J35" s="308">
        <v>22</v>
      </c>
      <c r="K35" s="368">
        <v>10</v>
      </c>
      <c r="L35" s="308">
        <v>6</v>
      </c>
      <c r="M35" s="368">
        <v>6</v>
      </c>
      <c r="N35" s="368">
        <v>12</v>
      </c>
      <c r="O35" s="368">
        <v>13</v>
      </c>
      <c r="P35" s="369">
        <v>13</v>
      </c>
      <c r="Q35" s="559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x14ac:dyDescent="0.2">
      <c r="A36" s="405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</row>
    <row r="37" spans="1:35" x14ac:dyDescent="0.2">
      <c r="A37" s="1" t="s">
        <v>76</v>
      </c>
      <c r="E37" s="120"/>
      <c r="H37" s="120"/>
      <c r="I37" s="120"/>
      <c r="J37" s="120"/>
      <c r="K37" s="120"/>
      <c r="L37" s="120"/>
      <c r="M37" s="120"/>
      <c r="N37" s="120"/>
      <c r="O37" s="120"/>
    </row>
    <row r="38" spans="1:35" x14ac:dyDescent="0.2">
      <c r="A38" s="1" t="s">
        <v>96</v>
      </c>
    </row>
    <row r="39" spans="1:35" x14ac:dyDescent="0.2">
      <c r="A39" s="1" t="s">
        <v>88</v>
      </c>
    </row>
    <row r="40" spans="1:35" s="6" customFormat="1" x14ac:dyDescent="0.2">
      <c r="A40" s="169" t="s">
        <v>143</v>
      </c>
      <c r="B40" s="106"/>
      <c r="C40" s="106"/>
      <c r="D40" s="106"/>
      <c r="E40" s="110"/>
      <c r="F40" s="106"/>
      <c r="G40" s="110"/>
      <c r="H40" s="110"/>
      <c r="I40" s="110"/>
      <c r="J40" s="110"/>
      <c r="K40" s="110"/>
      <c r="L40" s="110"/>
      <c r="M40" s="110"/>
      <c r="N40" s="110"/>
      <c r="O40" s="110"/>
      <c r="P40" s="110"/>
    </row>
    <row r="41" spans="1:35" x14ac:dyDescent="0.2">
      <c r="D41" s="6"/>
      <c r="E41" s="27"/>
      <c r="F41" s="6"/>
      <c r="G41" s="27"/>
      <c r="H41" s="27"/>
      <c r="I41" s="27"/>
      <c r="J41" s="27"/>
      <c r="K41" s="269"/>
      <c r="L41" s="27"/>
      <c r="M41" s="269"/>
      <c r="N41" s="27"/>
      <c r="O41" s="27"/>
      <c r="P41" s="27"/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N41"/>
  <sheetViews>
    <sheetView zoomScale="93" zoomScaleNormal="93" workbookViewId="0">
      <selection activeCell="E37" sqref="E37"/>
    </sheetView>
  </sheetViews>
  <sheetFormatPr defaultColWidth="9.140625" defaultRowHeight="12.75" x14ac:dyDescent="0.2"/>
  <cols>
    <col min="1" max="1" width="44.28515625" style="9" customWidth="1"/>
    <col min="2" max="2" width="10.85546875" style="111" customWidth="1"/>
    <col min="3" max="3" width="9.140625" style="111" customWidth="1"/>
    <col min="4" max="14" width="9.28515625" style="111" customWidth="1"/>
    <col min="15" max="66" width="9.140625" style="6"/>
    <col min="67" max="16384" width="9.140625" style="9"/>
  </cols>
  <sheetData>
    <row r="1" spans="1:66" s="68" customFormat="1" ht="15" x14ac:dyDescent="0.25">
      <c r="A1" s="66" t="s">
        <v>199</v>
      </c>
      <c r="B1" s="67"/>
      <c r="C1" s="67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</row>
    <row r="2" spans="1:66" ht="9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66" ht="96.6" customHeight="1" x14ac:dyDescent="0.2">
      <c r="A3" s="393"/>
      <c r="B3" s="101" t="s">
        <v>176</v>
      </c>
      <c r="C3" s="171" t="s">
        <v>110</v>
      </c>
      <c r="D3" s="986" t="s">
        <v>203</v>
      </c>
      <c r="E3" s="1055" t="s">
        <v>204</v>
      </c>
      <c r="F3" s="815" t="s">
        <v>205</v>
      </c>
      <c r="G3" s="1056" t="s">
        <v>206</v>
      </c>
      <c r="H3" s="815" t="s">
        <v>207</v>
      </c>
      <c r="I3" s="815" t="s">
        <v>208</v>
      </c>
      <c r="J3" s="815" t="s">
        <v>209</v>
      </c>
      <c r="K3" s="815" t="s">
        <v>212</v>
      </c>
      <c r="L3" s="1056" t="s">
        <v>210</v>
      </c>
      <c r="M3" s="815" t="s">
        <v>211</v>
      </c>
      <c r="N3" s="1133" t="s">
        <v>213</v>
      </c>
      <c r="O3" s="1060"/>
    </row>
    <row r="4" spans="1:66" ht="27.75" customHeight="1" x14ac:dyDescent="0.2">
      <c r="A4" s="50" t="s">
        <v>31</v>
      </c>
      <c r="B4" s="1176" t="s">
        <v>6</v>
      </c>
      <c r="C4" s="1176" t="s">
        <v>6</v>
      </c>
      <c r="D4" s="996" t="s">
        <v>2</v>
      </c>
      <c r="E4" s="790" t="s">
        <v>2</v>
      </c>
      <c r="F4" s="790" t="s">
        <v>2</v>
      </c>
      <c r="G4" s="790" t="s">
        <v>4</v>
      </c>
      <c r="H4" s="790" t="s">
        <v>2</v>
      </c>
      <c r="I4" s="790" t="s">
        <v>2</v>
      </c>
      <c r="J4" s="790" t="s">
        <v>5</v>
      </c>
      <c r="K4" s="790" t="s">
        <v>3</v>
      </c>
      <c r="L4" s="790" t="s">
        <v>4</v>
      </c>
      <c r="M4" s="790" t="s">
        <v>5</v>
      </c>
      <c r="N4" s="652" t="s">
        <v>4</v>
      </c>
      <c r="O4" s="1060"/>
      <c r="Q4" s="378"/>
      <c r="R4" s="378"/>
      <c r="S4" s="378"/>
      <c r="T4" s="378"/>
      <c r="U4" s="378"/>
      <c r="V4" s="378"/>
      <c r="W4" s="378"/>
      <c r="X4" s="378"/>
      <c r="Y4" s="378"/>
      <c r="Z4" s="619"/>
      <c r="AA4" s="378"/>
      <c r="AB4" s="619"/>
    </row>
    <row r="5" spans="1:66" ht="21.75" customHeight="1" x14ac:dyDescent="0.2">
      <c r="A5" s="395" t="s">
        <v>13</v>
      </c>
      <c r="B5" s="102" t="s">
        <v>6</v>
      </c>
      <c r="C5" s="170" t="s">
        <v>6</v>
      </c>
      <c r="D5" s="107">
        <v>138.85599999999999</v>
      </c>
      <c r="E5" s="601">
        <v>139.316</v>
      </c>
      <c r="F5" s="25">
        <v>140.55500000000001</v>
      </c>
      <c r="G5" s="25">
        <v>141.40800000000002</v>
      </c>
      <c r="H5" s="25">
        <v>141.75200000000001</v>
      </c>
      <c r="I5" s="25">
        <v>141.8125</v>
      </c>
      <c r="J5" s="601">
        <v>141.87299999999999</v>
      </c>
      <c r="K5" s="25">
        <v>141.881</v>
      </c>
      <c r="L5" s="25">
        <v>141.96100000000001</v>
      </c>
      <c r="M5" s="25">
        <v>142.10599999999999</v>
      </c>
      <c r="N5" s="28">
        <v>142.29500000000002</v>
      </c>
      <c r="O5" s="1060"/>
    </row>
    <row r="6" spans="1:66" s="211" customFormat="1" ht="18" customHeight="1" x14ac:dyDescent="0.2">
      <c r="A6" s="272" t="s">
        <v>108</v>
      </c>
      <c r="B6" s="273"/>
      <c r="C6" s="273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559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</row>
    <row r="7" spans="1:66" s="210" customFormat="1" ht="17.25" customHeight="1" x14ac:dyDescent="0.2">
      <c r="A7" s="462" t="s">
        <v>319</v>
      </c>
      <c r="B7" s="463">
        <v>100</v>
      </c>
      <c r="C7" s="463">
        <v>99.786490754008028</v>
      </c>
      <c r="D7" s="682">
        <v>99.056514259004857</v>
      </c>
      <c r="E7" s="683">
        <v>97.939764572292276</v>
      </c>
      <c r="F7" s="135">
        <v>101.80311219276452</v>
      </c>
      <c r="G7" s="135">
        <v>102.99382344879767</v>
      </c>
      <c r="H7" s="136">
        <v>100.87355886722912</v>
      </c>
      <c r="I7" s="136">
        <v>99.259503878749399</v>
      </c>
      <c r="J7" s="136">
        <v>102.86525762454562</v>
      </c>
      <c r="K7" s="136">
        <v>102.69895519057059</v>
      </c>
      <c r="L7" s="135">
        <v>102.30103271100266</v>
      </c>
      <c r="M7" s="136">
        <v>100.52008603157071</v>
      </c>
      <c r="N7" s="137">
        <v>102.06589712841138</v>
      </c>
      <c r="O7" s="559"/>
      <c r="P7" s="27"/>
      <c r="Q7" s="27"/>
      <c r="R7" s="378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</row>
    <row r="8" spans="1:66" s="210" customFormat="1" ht="17.25" customHeight="1" x14ac:dyDescent="0.2">
      <c r="A8" s="427" t="s">
        <v>321</v>
      </c>
      <c r="B8" s="428">
        <v>100</v>
      </c>
      <c r="C8" s="428">
        <v>100.1344155892354</v>
      </c>
      <c r="D8" s="684">
        <v>100.32514186993592</v>
      </c>
      <c r="E8" s="685">
        <v>100.54323738062031</v>
      </c>
      <c r="F8" s="126">
        <v>98.748028634652201</v>
      </c>
      <c r="G8" s="230">
        <v>95.304063101174762</v>
      </c>
      <c r="H8" s="125">
        <v>100.80428702269005</v>
      </c>
      <c r="I8" s="125">
        <v>100.25138303827858</v>
      </c>
      <c r="J8" s="125">
        <v>100.19880587051402</v>
      </c>
      <c r="K8" s="125">
        <v>101.58483546407984</v>
      </c>
      <c r="L8" s="230">
        <v>96.306756606660542</v>
      </c>
      <c r="M8" s="125">
        <v>101.72146706446054</v>
      </c>
      <c r="N8" s="305">
        <v>100.37235978006584</v>
      </c>
      <c r="O8" s="559"/>
      <c r="P8" s="27"/>
      <c r="Q8" s="27"/>
      <c r="R8" s="378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</row>
    <row r="9" spans="1:66" s="210" customFormat="1" ht="17.25" customHeight="1" x14ac:dyDescent="0.2">
      <c r="A9" s="427" t="s">
        <v>312</v>
      </c>
      <c r="B9" s="428">
        <v>100</v>
      </c>
      <c r="C9" s="429">
        <v>99.987471682436365</v>
      </c>
      <c r="D9" s="684">
        <v>99.690828064470395</v>
      </c>
      <c r="E9" s="354">
        <v>99.193288517042802</v>
      </c>
      <c r="F9" s="126">
        <v>100.4588754271951</v>
      </c>
      <c r="G9" s="126">
        <v>99.148943274986209</v>
      </c>
      <c r="H9" s="126">
        <v>100.83892294495959</v>
      </c>
      <c r="I9" s="126">
        <v>99.755443458513994</v>
      </c>
      <c r="J9" s="126">
        <v>101.53203174752981</v>
      </c>
      <c r="K9" s="126">
        <v>102.22147530778884</v>
      </c>
      <c r="L9" s="126">
        <v>99.303894658831609</v>
      </c>
      <c r="M9" s="126">
        <v>101.09465956903976</v>
      </c>
      <c r="N9" s="354">
        <v>101.38848218907316</v>
      </c>
      <c r="O9" s="559"/>
      <c r="P9" s="27"/>
      <c r="Q9" s="27"/>
      <c r="R9" s="378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</row>
    <row r="10" spans="1:66" s="210" customFormat="1" ht="17.25" customHeight="1" x14ac:dyDescent="0.2">
      <c r="A10" s="427" t="s">
        <v>314</v>
      </c>
      <c r="B10" s="428">
        <v>100</v>
      </c>
      <c r="C10" s="428">
        <v>108.07635637587804</v>
      </c>
      <c r="D10" s="717">
        <v>106.95800471669811</v>
      </c>
      <c r="E10" s="684">
        <v>113.39225954748972</v>
      </c>
      <c r="F10" s="126">
        <v>102.55894278488711</v>
      </c>
      <c r="G10" s="970">
        <v>106.30964960704252</v>
      </c>
      <c r="H10" s="717">
        <v>109.1667684556634</v>
      </c>
      <c r="I10" s="717">
        <v>108.30580637465175</v>
      </c>
      <c r="J10" s="717">
        <v>100.3095690932078</v>
      </c>
      <c r="K10" s="717">
        <v>110.77970174436169</v>
      </c>
      <c r="L10" s="970">
        <v>105.9906945785697</v>
      </c>
      <c r="M10" s="717">
        <v>101.17438161202983</v>
      </c>
      <c r="N10" s="684">
        <v>99.065156194782517</v>
      </c>
      <c r="O10" s="559"/>
      <c r="P10" s="27"/>
      <c r="Q10" s="27"/>
      <c r="R10" s="378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</row>
    <row r="11" spans="1:66" s="210" customFormat="1" ht="28.5" customHeight="1" x14ac:dyDescent="0.2">
      <c r="A11" s="831" t="s">
        <v>320</v>
      </c>
      <c r="B11" s="231">
        <v>100</v>
      </c>
      <c r="C11" s="231">
        <v>101.86443207151554</v>
      </c>
      <c r="D11" s="658">
        <v>100.55912680656304</v>
      </c>
      <c r="E11" s="659">
        <v>101.18008103629735</v>
      </c>
      <c r="F11" s="232">
        <v>104.07713716645441</v>
      </c>
      <c r="G11" s="689">
        <v>102.78261357168165</v>
      </c>
      <c r="H11" s="233">
        <v>103.26459857238866</v>
      </c>
      <c r="I11" s="233">
        <v>100.24121677587418</v>
      </c>
      <c r="J11" s="233">
        <v>105.88628855520966</v>
      </c>
      <c r="K11" s="233">
        <v>103.68041108266276</v>
      </c>
      <c r="L11" s="689">
        <v>101.86934501299005</v>
      </c>
      <c r="M11" s="233">
        <v>102.99270004597012</v>
      </c>
      <c r="N11" s="1124">
        <v>103.95571638124483</v>
      </c>
      <c r="O11" s="559"/>
      <c r="P11" s="27"/>
      <c r="Q11" s="27"/>
      <c r="R11" s="378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</row>
    <row r="12" spans="1:66" s="211" customFormat="1" ht="18" customHeight="1" x14ac:dyDescent="0.2">
      <c r="A12" s="396" t="s">
        <v>38</v>
      </c>
      <c r="B12" s="274"/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559"/>
      <c r="P12" s="27"/>
      <c r="Q12" s="27"/>
      <c r="R12" s="378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</row>
    <row r="13" spans="1:66" s="210" customFormat="1" ht="17.25" customHeight="1" x14ac:dyDescent="0.2">
      <c r="A13" s="464" t="s">
        <v>315</v>
      </c>
      <c r="B13" s="463">
        <v>100</v>
      </c>
      <c r="C13" s="463">
        <v>98.191364024782331</v>
      </c>
      <c r="D13" s="682">
        <v>95.679578580352867</v>
      </c>
      <c r="E13" s="683">
        <v>94.738749494522182</v>
      </c>
      <c r="F13" s="135">
        <v>99.465974463976877</v>
      </c>
      <c r="G13" s="135">
        <v>104.02194864331878</v>
      </c>
      <c r="H13" s="136">
        <v>102.01847176737401</v>
      </c>
      <c r="I13" s="136">
        <v>99.054045817685719</v>
      </c>
      <c r="J13" s="135">
        <v>98.796344304239184</v>
      </c>
      <c r="K13" s="136">
        <v>109.33016149065962</v>
      </c>
      <c r="L13" s="135">
        <v>105.10932632427576</v>
      </c>
      <c r="M13" s="136">
        <v>96.392901289007355</v>
      </c>
      <c r="N13" s="137">
        <v>91.377575396635706</v>
      </c>
      <c r="O13" s="559"/>
      <c r="P13" s="27"/>
      <c r="Q13" s="27"/>
      <c r="R13" s="378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</row>
    <row r="14" spans="1:66" s="210" customFormat="1" ht="18" customHeight="1" x14ac:dyDescent="0.2">
      <c r="A14" s="397" t="s">
        <v>17</v>
      </c>
      <c r="B14" s="276"/>
      <c r="C14" s="276"/>
      <c r="D14" s="662"/>
      <c r="E14" s="663"/>
      <c r="F14" s="664"/>
      <c r="G14" s="664"/>
      <c r="H14" s="665"/>
      <c r="I14" s="665"/>
      <c r="J14" s="664"/>
      <c r="K14" s="665"/>
      <c r="L14" s="664"/>
      <c r="M14" s="665"/>
      <c r="N14" s="662"/>
      <c r="O14" s="559"/>
      <c r="P14" s="27"/>
      <c r="Q14" s="27"/>
      <c r="R14" s="378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</row>
    <row r="15" spans="1:66" s="210" customFormat="1" ht="17.25" customHeight="1" x14ac:dyDescent="0.2">
      <c r="A15" s="434" t="s">
        <v>316</v>
      </c>
      <c r="B15" s="428">
        <v>100</v>
      </c>
      <c r="C15" s="428">
        <v>104.28427886094697</v>
      </c>
      <c r="D15" s="684">
        <v>103.92097097904906</v>
      </c>
      <c r="E15" s="685">
        <v>103.92195450751326</v>
      </c>
      <c r="F15" s="126">
        <v>104.60123316933148</v>
      </c>
      <c r="G15" s="230">
        <v>99.235563084365793</v>
      </c>
      <c r="H15" s="125">
        <v>104.75865383009365</v>
      </c>
      <c r="I15" s="125">
        <v>104.21858181874735</v>
      </c>
      <c r="J15" s="126">
        <v>100.52346040084846</v>
      </c>
      <c r="K15" s="125">
        <v>102.90216886677906</v>
      </c>
      <c r="L15" s="230">
        <v>101.71099350209118</v>
      </c>
      <c r="M15" s="125">
        <v>100.36851045524521</v>
      </c>
      <c r="N15" s="305">
        <v>104.7392250971982</v>
      </c>
      <c r="O15" s="559"/>
      <c r="P15" s="27"/>
      <c r="Q15" s="27"/>
      <c r="R15" s="378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</row>
    <row r="16" spans="1:66" s="433" customFormat="1" ht="17.25" customHeight="1" x14ac:dyDescent="0.2">
      <c r="A16" s="1039" t="s">
        <v>366</v>
      </c>
      <c r="B16" s="431">
        <f>65+6.36296345584343</f>
        <v>71.362963455843428</v>
      </c>
      <c r="C16" s="431">
        <f>65+6.23614711958172</f>
        <v>71.236147119581716</v>
      </c>
      <c r="D16" s="669">
        <f>65+5.57008703405717</f>
        <v>70.570087034057167</v>
      </c>
      <c r="E16" s="686">
        <f>65+6.01991993142805</f>
        <v>71.019919931428049</v>
      </c>
      <c r="F16" s="361">
        <f>65+6.48914573401738</f>
        <v>71.489145734017384</v>
      </c>
      <c r="G16" s="680">
        <f>65+7.57292901665591</f>
        <v>72.572929016655905</v>
      </c>
      <c r="H16" s="666">
        <f>65+7.1034609816402</f>
        <v>72.103460981640197</v>
      </c>
      <c r="I16" s="666">
        <f>65+5.9981219167658</f>
        <v>70.998121916765797</v>
      </c>
      <c r="J16" s="361">
        <f>65+9.33342017889173</f>
        <v>74.333420178891728</v>
      </c>
      <c r="K16" s="666">
        <f>65+7.93862589667141</f>
        <v>72.938625896671411</v>
      </c>
      <c r="L16" s="680">
        <f>65+6.60292901665591</f>
        <v>71.602929016655906</v>
      </c>
      <c r="M16" s="666">
        <f>65+8.29968101376356</f>
        <v>73.299681013763561</v>
      </c>
      <c r="N16" s="1134">
        <f>65+7.1534212973438</f>
        <v>72.153421297343797</v>
      </c>
      <c r="O16" s="638"/>
      <c r="P16" s="27"/>
      <c r="Q16" s="489"/>
      <c r="R16" s="619"/>
      <c r="S16" s="432"/>
      <c r="T16" s="432"/>
      <c r="U16" s="432"/>
      <c r="V16" s="432"/>
      <c r="W16" s="432"/>
      <c r="X16" s="432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2"/>
      <c r="AR16" s="432"/>
      <c r="AS16" s="432"/>
      <c r="AT16" s="432"/>
      <c r="AU16" s="432"/>
      <c r="AV16" s="432"/>
      <c r="AW16" s="432"/>
      <c r="AX16" s="432"/>
      <c r="AY16" s="432"/>
      <c r="AZ16" s="432"/>
      <c r="BA16" s="432"/>
      <c r="BB16" s="432"/>
      <c r="BC16" s="432"/>
      <c r="BD16" s="432"/>
      <c r="BE16" s="432"/>
      <c r="BF16" s="432"/>
      <c r="BG16" s="432"/>
      <c r="BH16" s="432"/>
      <c r="BI16" s="432"/>
      <c r="BJ16" s="432"/>
      <c r="BK16" s="432"/>
      <c r="BL16" s="432"/>
      <c r="BM16" s="432"/>
      <c r="BN16" s="432"/>
    </row>
    <row r="17" spans="1:66" s="210" customFormat="1" ht="17.25" customHeight="1" x14ac:dyDescent="0.2">
      <c r="A17" s="434" t="s">
        <v>317</v>
      </c>
      <c r="B17" s="428">
        <v>100</v>
      </c>
      <c r="C17" s="428">
        <v>98.615941606117261</v>
      </c>
      <c r="D17" s="684">
        <v>96.826384454028045</v>
      </c>
      <c r="E17" s="685">
        <v>97.670618385863918</v>
      </c>
      <c r="F17" s="126">
        <v>103.33073179189167</v>
      </c>
      <c r="G17" s="230">
        <v>106.55126426537386</v>
      </c>
      <c r="H17" s="125">
        <v>99.92108837088108</v>
      </c>
      <c r="I17" s="125">
        <v>95.330885027921667</v>
      </c>
      <c r="J17" s="126">
        <v>106.82153704496538</v>
      </c>
      <c r="K17" s="125">
        <v>100.65628772107219</v>
      </c>
      <c r="L17" s="230">
        <v>100.64807350970715</v>
      </c>
      <c r="M17" s="125">
        <v>101.33966938761282</v>
      </c>
      <c r="N17" s="305">
        <v>102.92612657806953</v>
      </c>
      <c r="O17" s="559"/>
      <c r="P17" s="27"/>
      <c r="Q17" s="27"/>
      <c r="R17" s="378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</row>
    <row r="18" spans="1:66" s="433" customFormat="1" ht="17.25" customHeight="1" x14ac:dyDescent="0.2">
      <c r="A18" s="1040" t="s">
        <v>367</v>
      </c>
      <c r="B18" s="431">
        <f>65+2.32931292974234</f>
        <v>67.329312929742343</v>
      </c>
      <c r="C18" s="431">
        <f>65+2.69381786605166</f>
        <v>67.69381786605166</v>
      </c>
      <c r="D18" s="669">
        <f>65+3.1624599521401</f>
        <v>68.162459952140097</v>
      </c>
      <c r="E18" s="686">
        <f>65+2.88364231315353</f>
        <v>67.88364231315353</v>
      </c>
      <c r="F18" s="361">
        <f>65+2.21942121284967</f>
        <v>67.219421212849667</v>
      </c>
      <c r="G18" s="680">
        <f>65+2.05508315440014</f>
        <v>67.055083154400137</v>
      </c>
      <c r="H18" s="666">
        <f>65+2.64699069228668</f>
        <v>67.646990692286678</v>
      </c>
      <c r="I18" s="666">
        <f>65+2.55657515982834</f>
        <v>67.556575159828341</v>
      </c>
      <c r="J18" s="361">
        <f>65+3.21417498944666</f>
        <v>68.214174989446661</v>
      </c>
      <c r="K18" s="666">
        <f>65+3.10094481061896</f>
        <v>68.100944810618955</v>
      </c>
      <c r="L18" s="680">
        <f>65+2.97841648773347</f>
        <v>67.978416487733469</v>
      </c>
      <c r="M18" s="666">
        <f>65+3.6763025737189</f>
        <v>68.6763025737189</v>
      </c>
      <c r="N18" s="1134">
        <f>65+2.05776225999007</f>
        <v>67.057762259990071</v>
      </c>
      <c r="O18" s="638"/>
      <c r="P18" s="27"/>
      <c r="Q18" s="432"/>
      <c r="R18" s="619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2"/>
      <c r="BE18" s="432"/>
      <c r="BF18" s="432"/>
      <c r="BG18" s="432"/>
      <c r="BH18" s="432"/>
      <c r="BI18" s="432"/>
      <c r="BJ18" s="432"/>
      <c r="BK18" s="432"/>
      <c r="BL18" s="432"/>
      <c r="BM18" s="432"/>
      <c r="BN18" s="432"/>
    </row>
    <row r="19" spans="1:66" s="210" customFormat="1" ht="17.25" customHeight="1" x14ac:dyDescent="0.2">
      <c r="A19" s="465" t="s">
        <v>318</v>
      </c>
      <c r="B19" s="466">
        <v>100</v>
      </c>
      <c r="C19" s="466">
        <v>96.317430967004</v>
      </c>
      <c r="D19" s="687">
        <v>96.548476980333348</v>
      </c>
      <c r="E19" s="688">
        <v>92.82096588640654</v>
      </c>
      <c r="F19" s="656">
        <v>98.561580305225775</v>
      </c>
      <c r="G19" s="689">
        <v>104.15506625632587</v>
      </c>
      <c r="H19" s="655">
        <v>96.908850590258737</v>
      </c>
      <c r="I19" s="655">
        <v>96.747281072795602</v>
      </c>
      <c r="J19" s="656">
        <v>103.69032375316222</v>
      </c>
      <c r="K19" s="655">
        <v>101.83486212063666</v>
      </c>
      <c r="L19" s="689">
        <v>103.2329656182162</v>
      </c>
      <c r="M19" s="655">
        <v>101.0042437309064</v>
      </c>
      <c r="N19" s="1135">
        <v>101.38051369720249</v>
      </c>
      <c r="O19" s="559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s="206" customFormat="1" ht="18" customHeight="1" x14ac:dyDescent="0.2">
      <c r="A20" s="398" t="s">
        <v>18</v>
      </c>
      <c r="B20" s="261"/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559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</row>
    <row r="21" spans="1:66" s="208" customFormat="1" ht="17.25" customHeight="1" x14ac:dyDescent="0.2">
      <c r="A21" s="392" t="s">
        <v>131</v>
      </c>
      <c r="B21" s="430">
        <v>54.809130473362146</v>
      </c>
      <c r="C21" s="430">
        <v>53.693114362283993</v>
      </c>
      <c r="D21" s="696">
        <v>51.583154415361491</v>
      </c>
      <c r="E21" s="697">
        <v>53.224224616180003</v>
      </c>
      <c r="F21" s="657">
        <v>54.581219080833144</v>
      </c>
      <c r="G21" s="782">
        <v>53.356925934799818</v>
      </c>
      <c r="H21" s="674">
        <v>54.022846668055671</v>
      </c>
      <c r="I21" s="674">
        <v>55.05412703098964</v>
      </c>
      <c r="J21" s="674">
        <v>49.539434426616324</v>
      </c>
      <c r="K21" s="674">
        <v>54.836100239439624</v>
      </c>
      <c r="L21" s="782">
        <v>55.58492593479982</v>
      </c>
      <c r="M21" s="674">
        <v>48.637641474408071</v>
      </c>
      <c r="N21" s="1124">
        <v>52.956059230614379</v>
      </c>
      <c r="O21" s="559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</row>
    <row r="22" spans="1:66" s="210" customFormat="1" ht="17.25" customHeight="1" x14ac:dyDescent="0.2">
      <c r="A22" s="475" t="s">
        <v>129</v>
      </c>
      <c r="B22" s="231">
        <v>51.988616300989321</v>
      </c>
      <c r="C22" s="231">
        <v>50.575168874492689</v>
      </c>
      <c r="D22" s="658">
        <v>52.155209562196632</v>
      </c>
      <c r="E22" s="659">
        <v>51.123410374331179</v>
      </c>
      <c r="F22" s="357">
        <v>48.293064236324945</v>
      </c>
      <c r="G22" s="232">
        <v>44.387612039762253</v>
      </c>
      <c r="H22" s="233">
        <v>50.848028108544177</v>
      </c>
      <c r="I22" s="233">
        <v>50.456132091066507</v>
      </c>
      <c r="J22" s="233">
        <v>48.115258437771409</v>
      </c>
      <c r="K22" s="233">
        <v>49.601531421749165</v>
      </c>
      <c r="L22" s="232">
        <v>44.540445373095579</v>
      </c>
      <c r="M22" s="233">
        <v>47.867447395739923</v>
      </c>
      <c r="N22" s="238">
        <v>47.996793531412997</v>
      </c>
      <c r="O22" s="559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</row>
    <row r="23" spans="1:66" s="208" customFormat="1" ht="17.25" customHeight="1" x14ac:dyDescent="0.2">
      <c r="A23" s="436" t="s">
        <v>130</v>
      </c>
      <c r="B23" s="277">
        <v>3.8523274790019002</v>
      </c>
      <c r="C23" s="431">
        <v>3.7067423940727466</v>
      </c>
      <c r="D23" s="669">
        <v>3.869486584906253</v>
      </c>
      <c r="E23" s="686">
        <v>3.7632112685561112</v>
      </c>
      <c r="F23" s="360">
        <v>3.4716856163414689</v>
      </c>
      <c r="G23" s="361">
        <v>3.069424040095512</v>
      </c>
      <c r="H23" s="666">
        <v>3.7348468951800498</v>
      </c>
      <c r="I23" s="666">
        <v>3.6944816053798504</v>
      </c>
      <c r="J23" s="666">
        <v>3.4533716190904546</v>
      </c>
      <c r="K23" s="666">
        <v>3.6064577364401642</v>
      </c>
      <c r="L23" s="361">
        <v>3.0851658734288443</v>
      </c>
      <c r="M23" s="666">
        <v>3.4278470817612114</v>
      </c>
      <c r="N23" s="362">
        <v>3.4411697337355389</v>
      </c>
      <c r="O23" s="559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</row>
    <row r="24" spans="1:66" s="476" customFormat="1" ht="17.25" customHeight="1" x14ac:dyDescent="0.2">
      <c r="A24" s="470" t="s">
        <v>7</v>
      </c>
      <c r="B24" s="438">
        <v>7.0278971090052007</v>
      </c>
      <c r="C24" s="438">
        <v>7.142535149930584</v>
      </c>
      <c r="D24" s="670">
        <v>7.0503005702970389</v>
      </c>
      <c r="E24" s="695">
        <v>7.3054831531143103</v>
      </c>
      <c r="F24" s="783">
        <v>7.2283592762247411</v>
      </c>
      <c r="G24" s="1012" t="s">
        <v>6</v>
      </c>
      <c r="H24" s="388">
        <v>7.159688944223487</v>
      </c>
      <c r="I24" s="388">
        <v>6.9688438057933446</v>
      </c>
      <c r="J24" s="388">
        <v>7.0749597431388631</v>
      </c>
      <c r="K24" s="807">
        <v>7.2542451603868212</v>
      </c>
      <c r="L24" s="1012" t="s">
        <v>6</v>
      </c>
      <c r="M24" s="388">
        <v>6.8738161047422652</v>
      </c>
      <c r="N24" s="830">
        <v>6.9908780513163382</v>
      </c>
      <c r="O24" s="559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</row>
    <row r="25" spans="1:66" s="206" customFormat="1" ht="18" customHeight="1" x14ac:dyDescent="0.2">
      <c r="A25" s="399" t="s">
        <v>19</v>
      </c>
      <c r="B25" s="266"/>
      <c r="C25" s="266"/>
      <c r="D25" s="275"/>
      <c r="E25" s="275"/>
      <c r="F25" s="267"/>
      <c r="G25" s="267"/>
      <c r="H25" s="267"/>
      <c r="I25" s="267"/>
      <c r="J25" s="267"/>
      <c r="K25" s="267"/>
      <c r="L25" s="267"/>
      <c r="M25" s="267"/>
      <c r="N25" s="267"/>
      <c r="O25" s="559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</row>
    <row r="26" spans="1:66" s="210" customFormat="1" ht="15.75" customHeight="1" x14ac:dyDescent="0.2">
      <c r="A26" s="400" t="s">
        <v>32</v>
      </c>
      <c r="B26" s="380">
        <v>5.0464285714285726</v>
      </c>
      <c r="C26" s="380">
        <v>5.0100000000000007</v>
      </c>
      <c r="D26" s="667">
        <v>5.45</v>
      </c>
      <c r="E26" s="668">
        <v>5.95</v>
      </c>
      <c r="F26" s="748">
        <v>5.2</v>
      </c>
      <c r="G26" s="817" t="s">
        <v>6</v>
      </c>
      <c r="H26" s="386">
        <v>4.05</v>
      </c>
      <c r="I26" s="386">
        <v>4.4000000000000004</v>
      </c>
      <c r="J26" s="386">
        <v>3.8</v>
      </c>
      <c r="K26" s="386" t="s">
        <v>146</v>
      </c>
      <c r="L26" s="817" t="s">
        <v>6</v>
      </c>
      <c r="M26" s="386" t="s">
        <v>133</v>
      </c>
      <c r="N26" s="1136" t="s">
        <v>6</v>
      </c>
      <c r="O26" s="559"/>
      <c r="P26" s="47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</row>
    <row r="27" spans="1:66" s="210" customFormat="1" ht="15.75" customHeight="1" x14ac:dyDescent="0.2">
      <c r="A27" s="400" t="s">
        <v>10</v>
      </c>
      <c r="B27" s="380">
        <v>6.9607142857142863</v>
      </c>
      <c r="C27" s="380">
        <v>6.68</v>
      </c>
      <c r="D27" s="669">
        <v>6.25</v>
      </c>
      <c r="E27" s="668">
        <v>7.5</v>
      </c>
      <c r="F27" s="385">
        <v>7.05</v>
      </c>
      <c r="G27" s="817" t="s">
        <v>325</v>
      </c>
      <c r="H27" s="386">
        <v>6.2</v>
      </c>
      <c r="I27" s="386">
        <v>6.4</v>
      </c>
      <c r="J27" s="386">
        <v>7.05</v>
      </c>
      <c r="K27" s="386">
        <v>6.95</v>
      </c>
      <c r="L27" s="817" t="s">
        <v>173</v>
      </c>
      <c r="M27" s="386">
        <v>8.0500000000000007</v>
      </c>
      <c r="N27" s="1137" t="s">
        <v>155</v>
      </c>
      <c r="O27" s="559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</row>
    <row r="28" spans="1:66" s="27" customFormat="1" ht="15.75" customHeight="1" x14ac:dyDescent="0.2">
      <c r="A28" s="401" t="s">
        <v>105</v>
      </c>
      <c r="B28" s="382">
        <v>7.0499999999999989</v>
      </c>
      <c r="C28" s="380">
        <v>7.5400000000000009</v>
      </c>
      <c r="D28" s="670">
        <v>7.6</v>
      </c>
      <c r="E28" s="671">
        <v>7.35</v>
      </c>
      <c r="F28" s="387">
        <v>8</v>
      </c>
      <c r="G28" s="818" t="s">
        <v>6</v>
      </c>
      <c r="H28" s="389">
        <v>6.8</v>
      </c>
      <c r="I28" s="388">
        <v>7.95</v>
      </c>
      <c r="J28" s="389">
        <v>8.25</v>
      </c>
      <c r="K28" s="389">
        <v>8.25</v>
      </c>
      <c r="L28" s="818" t="s">
        <v>6</v>
      </c>
      <c r="M28" s="819" t="s">
        <v>173</v>
      </c>
      <c r="N28" s="1138">
        <v>5.95</v>
      </c>
      <c r="O28" s="559"/>
    </row>
    <row r="29" spans="1:66" s="210" customFormat="1" ht="15.75" customHeight="1" x14ac:dyDescent="0.2">
      <c r="A29" s="413" t="s">
        <v>8</v>
      </c>
      <c r="B29" s="381">
        <v>7.6607142857142847</v>
      </c>
      <c r="C29" s="380">
        <v>7.99</v>
      </c>
      <c r="D29" s="598">
        <v>8.25</v>
      </c>
      <c r="E29" s="793">
        <v>8.3000000000000007</v>
      </c>
      <c r="F29" s="385">
        <v>6.3</v>
      </c>
      <c r="G29" s="819">
        <v>8.4</v>
      </c>
      <c r="H29" s="387">
        <v>8.5500000000000007</v>
      </c>
      <c r="I29" s="389">
        <v>8.5500000000000007</v>
      </c>
      <c r="J29" s="389">
        <v>1</v>
      </c>
      <c r="K29" s="389">
        <v>8.85</v>
      </c>
      <c r="L29" s="819">
        <v>8.3000000000000007</v>
      </c>
      <c r="M29" s="387">
        <v>2.6</v>
      </c>
      <c r="N29" s="1138">
        <v>7.85</v>
      </c>
      <c r="O29" s="559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</row>
    <row r="30" spans="1:66" ht="9" customHeight="1" x14ac:dyDescent="0.2">
      <c r="A30" s="414"/>
      <c r="B30" s="103"/>
      <c r="C30" s="92"/>
      <c r="D30" s="282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1060"/>
    </row>
    <row r="31" spans="1:66" s="206" customFormat="1" ht="17.25" customHeight="1" x14ac:dyDescent="0.2">
      <c r="A31" s="394" t="s">
        <v>11</v>
      </c>
      <c r="B31" s="295" t="s">
        <v>6</v>
      </c>
      <c r="C31" s="60" t="s">
        <v>6</v>
      </c>
      <c r="D31" s="296">
        <v>2009</v>
      </c>
      <c r="E31" s="297">
        <v>2012</v>
      </c>
      <c r="F31" s="128">
        <v>2008</v>
      </c>
      <c r="G31" s="252" t="s">
        <v>6</v>
      </c>
      <c r="H31" s="128">
        <v>2009</v>
      </c>
      <c r="I31" s="128">
        <v>2010</v>
      </c>
      <c r="J31" s="252">
        <v>2000</v>
      </c>
      <c r="K31" s="252">
        <v>2017</v>
      </c>
      <c r="L31" s="252" t="s">
        <v>6</v>
      </c>
      <c r="M31" s="252">
        <v>2015</v>
      </c>
      <c r="N31" s="131">
        <v>2018</v>
      </c>
      <c r="O31" s="559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</row>
    <row r="32" spans="1:66" s="206" customFormat="1" ht="13.5" customHeight="1" x14ac:dyDescent="0.2">
      <c r="A32" s="404" t="s">
        <v>12</v>
      </c>
      <c r="B32" s="278"/>
      <c r="C32" s="271"/>
      <c r="D32" s="283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559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</row>
    <row r="33" spans="1:66" s="211" customFormat="1" ht="17.25" customHeight="1" x14ac:dyDescent="0.2">
      <c r="A33" s="478" t="s">
        <v>36</v>
      </c>
      <c r="B33" s="479" t="s">
        <v>6</v>
      </c>
      <c r="C33" s="451" t="s">
        <v>6</v>
      </c>
      <c r="D33" s="480">
        <v>12</v>
      </c>
      <c r="E33" s="225">
        <v>8</v>
      </c>
      <c r="F33" s="224">
        <v>10</v>
      </c>
      <c r="G33" s="224">
        <v>3</v>
      </c>
      <c r="H33" s="224">
        <v>12</v>
      </c>
      <c r="I33" s="224">
        <v>13</v>
      </c>
      <c r="J33" s="224">
        <v>9</v>
      </c>
      <c r="K33" s="224">
        <v>7</v>
      </c>
      <c r="L33" s="224">
        <v>3</v>
      </c>
      <c r="M33" s="224">
        <v>8</v>
      </c>
      <c r="N33" s="1139">
        <v>6</v>
      </c>
      <c r="O33" s="559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</row>
    <row r="34" spans="1:66" s="210" customFormat="1" ht="17.25" customHeight="1" x14ac:dyDescent="0.2">
      <c r="A34" s="455" t="s">
        <v>33</v>
      </c>
      <c r="B34" s="481" t="s">
        <v>6</v>
      </c>
      <c r="C34" s="429" t="s">
        <v>6</v>
      </c>
      <c r="D34" s="482">
        <v>13</v>
      </c>
      <c r="E34" s="458">
        <v>14</v>
      </c>
      <c r="F34" s="456">
        <v>14</v>
      </c>
      <c r="G34" s="456">
        <v>6</v>
      </c>
      <c r="H34" s="456">
        <v>13</v>
      </c>
      <c r="I34" s="456">
        <v>11</v>
      </c>
      <c r="J34" s="456">
        <v>11</v>
      </c>
      <c r="K34" s="456">
        <v>12</v>
      </c>
      <c r="L34" s="456">
        <v>6</v>
      </c>
      <c r="M34" s="456">
        <v>12</v>
      </c>
      <c r="N34" s="457">
        <v>9</v>
      </c>
      <c r="O34" s="559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</row>
    <row r="35" spans="1:66" s="210" customFormat="1" ht="17.25" customHeight="1" thickBot="1" x14ac:dyDescent="0.25">
      <c r="A35" s="460" t="s">
        <v>34</v>
      </c>
      <c r="B35" s="483" t="s">
        <v>6</v>
      </c>
      <c r="C35" s="461" t="s">
        <v>6</v>
      </c>
      <c r="D35" s="484">
        <v>13</v>
      </c>
      <c r="E35" s="308">
        <v>13</v>
      </c>
      <c r="F35" s="368">
        <v>11</v>
      </c>
      <c r="G35" s="368">
        <v>6</v>
      </c>
      <c r="H35" s="368">
        <v>13</v>
      </c>
      <c r="I35" s="368">
        <v>11</v>
      </c>
      <c r="J35" s="368">
        <v>11</v>
      </c>
      <c r="K35" s="368">
        <v>9</v>
      </c>
      <c r="L35" s="368">
        <v>6</v>
      </c>
      <c r="M35" s="368">
        <v>11</v>
      </c>
      <c r="N35" s="307">
        <v>6</v>
      </c>
      <c r="O35" s="559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</row>
    <row r="36" spans="1:66" s="6" customFormat="1" ht="12" customHeight="1" x14ac:dyDescent="0.2">
      <c r="A36" s="405"/>
      <c r="B36" s="407"/>
      <c r="C36" s="406"/>
      <c r="D36" s="406"/>
      <c r="E36" s="406"/>
      <c r="F36" s="406"/>
      <c r="G36" s="406"/>
      <c r="H36" s="407"/>
      <c r="I36" s="407"/>
      <c r="J36" s="406"/>
      <c r="K36" s="406"/>
      <c r="L36" s="406"/>
      <c r="M36" s="406"/>
      <c r="N36" s="406"/>
    </row>
    <row r="37" spans="1:66" s="6" customFormat="1" x14ac:dyDescent="0.2">
      <c r="A37" s="1" t="s">
        <v>76</v>
      </c>
      <c r="B37" s="106"/>
      <c r="C37" s="111"/>
      <c r="D37" s="110"/>
      <c r="E37" s="110"/>
      <c r="F37" s="110"/>
      <c r="G37" s="110"/>
      <c r="H37" s="106"/>
      <c r="I37" s="106"/>
      <c r="J37" s="110"/>
      <c r="K37" s="110"/>
      <c r="L37" s="110"/>
      <c r="M37" s="110"/>
      <c r="N37" s="110"/>
    </row>
    <row r="38" spans="1:66" s="6" customFormat="1" x14ac:dyDescent="0.2">
      <c r="A38" s="1" t="s">
        <v>96</v>
      </c>
      <c r="B38" s="106"/>
      <c r="C38" s="111"/>
      <c r="D38" s="110"/>
      <c r="E38" s="110"/>
      <c r="F38" s="110"/>
      <c r="G38" s="110"/>
      <c r="H38" s="106"/>
      <c r="I38" s="106"/>
      <c r="J38" s="110"/>
      <c r="K38" s="110"/>
      <c r="L38" s="110"/>
      <c r="M38" s="110"/>
      <c r="N38" s="110"/>
    </row>
    <row r="39" spans="1:66" x14ac:dyDescent="0.2">
      <c r="A39" s="1" t="s">
        <v>88</v>
      </c>
    </row>
    <row r="40" spans="1:66" x14ac:dyDescent="0.2">
      <c r="A40" s="169" t="s">
        <v>143</v>
      </c>
      <c r="C40" s="106"/>
    </row>
    <row r="41" spans="1:66" x14ac:dyDescent="0.2">
      <c r="A41" s="11" t="s">
        <v>376</v>
      </c>
    </row>
  </sheetData>
  <phoneticPr fontId="5" type="noConversion"/>
  <printOptions horizontalCentered="1" verticalCentered="1"/>
  <pageMargins left="0.39370078740157483" right="0.39370078740157483" top="0.39370078740157483" bottom="0.39370078740157483" header="0.19685039370078741" footer="0.15748031496062992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Y52"/>
  <sheetViews>
    <sheetView zoomScale="98" zoomScaleNormal="98" workbookViewId="0">
      <selection activeCell="V13" sqref="V13"/>
    </sheetView>
  </sheetViews>
  <sheetFormatPr defaultColWidth="9.140625" defaultRowHeight="12.75" x14ac:dyDescent="0.2"/>
  <cols>
    <col min="1" max="1" width="44.5703125" style="9" customWidth="1"/>
    <col min="2" max="2" width="10.140625" style="111" customWidth="1"/>
    <col min="3" max="3" width="4.140625" style="111" hidden="1" customWidth="1"/>
    <col min="4" max="4" width="9.5703125" style="111" customWidth="1"/>
    <col min="5" max="5" width="10" style="111" customWidth="1"/>
    <col min="6" max="6" width="8.5703125" style="111" customWidth="1"/>
    <col min="7" max="7" width="10" style="111" customWidth="1"/>
    <col min="8" max="8" width="9.5703125" style="111" customWidth="1"/>
    <col min="9" max="13" width="9" style="111" customWidth="1"/>
    <col min="14" max="14" width="8.42578125" style="111" customWidth="1"/>
    <col min="15" max="19" width="9" style="111" customWidth="1"/>
    <col min="20" max="20" width="8.85546875" style="111" customWidth="1"/>
    <col min="21" max="21" width="9" style="111" customWidth="1"/>
    <col min="22" max="51" width="9.140625" style="6"/>
    <col min="52" max="16384" width="9.140625" style="9"/>
  </cols>
  <sheetData>
    <row r="1" spans="1:51" s="68" customFormat="1" ht="18.75" customHeight="1" x14ac:dyDescent="0.25">
      <c r="A1" s="66" t="s">
        <v>198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113"/>
      <c r="O1" s="67"/>
      <c r="P1" s="67"/>
      <c r="Q1" s="67"/>
      <c r="R1" s="67"/>
      <c r="S1" s="113"/>
      <c r="T1" s="113"/>
      <c r="U1" s="67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</row>
    <row r="2" spans="1:51" ht="9" customHeight="1" thickBot="1" x14ac:dyDescent="0.25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51" ht="12.75" customHeight="1" x14ac:dyDescent="0.2">
      <c r="A3" s="409"/>
      <c r="B3" s="73"/>
      <c r="C3" s="73"/>
      <c r="D3" s="731"/>
      <c r="E3" s="1183" t="s">
        <v>28</v>
      </c>
      <c r="F3" s="1183"/>
      <c r="G3" s="1183"/>
      <c r="H3" s="731"/>
      <c r="I3" s="966"/>
      <c r="J3" s="966"/>
      <c r="K3" s="966"/>
      <c r="L3" s="966"/>
      <c r="M3" s="966"/>
      <c r="N3" s="1014" t="s">
        <v>29</v>
      </c>
      <c r="O3" s="967"/>
      <c r="P3" s="966"/>
      <c r="Q3" s="966"/>
      <c r="R3" s="966"/>
      <c r="S3" s="966"/>
      <c r="T3" s="966"/>
      <c r="U3" s="1031"/>
      <c r="V3" s="1060"/>
    </row>
    <row r="4" spans="1:51" ht="84.6" customHeight="1" x14ac:dyDescent="0.2">
      <c r="A4" s="410"/>
      <c r="B4" s="93" t="s">
        <v>176</v>
      </c>
      <c r="C4" s="93" t="s">
        <v>115</v>
      </c>
      <c r="D4" s="124" t="s">
        <v>177</v>
      </c>
      <c r="E4" s="1042" t="s">
        <v>225</v>
      </c>
      <c r="F4" s="1043" t="s">
        <v>226</v>
      </c>
      <c r="G4" s="1044" t="s">
        <v>227</v>
      </c>
      <c r="H4" s="124" t="s">
        <v>178</v>
      </c>
      <c r="I4" s="1045" t="s">
        <v>214</v>
      </c>
      <c r="J4" s="1046" t="s">
        <v>215</v>
      </c>
      <c r="K4" s="1047" t="s">
        <v>217</v>
      </c>
      <c r="L4" s="1045" t="s">
        <v>218</v>
      </c>
      <c r="M4" s="1046" t="s">
        <v>219</v>
      </c>
      <c r="N4" s="1057" t="s">
        <v>220</v>
      </c>
      <c r="O4" s="1046" t="s">
        <v>216</v>
      </c>
      <c r="P4" s="1046" t="s">
        <v>228</v>
      </c>
      <c r="Q4" s="1047" t="s">
        <v>221</v>
      </c>
      <c r="R4" s="1049" t="s">
        <v>222</v>
      </c>
      <c r="S4" s="1048" t="s">
        <v>223</v>
      </c>
      <c r="T4" s="1050" t="s">
        <v>229</v>
      </c>
      <c r="U4" s="1123" t="s">
        <v>224</v>
      </c>
      <c r="V4" s="1060"/>
    </row>
    <row r="5" spans="1:51" ht="25.5" customHeight="1" x14ac:dyDescent="0.2">
      <c r="A5" s="394" t="s">
        <v>31</v>
      </c>
      <c r="B5" s="91" t="s">
        <v>6</v>
      </c>
      <c r="C5" s="91" t="s">
        <v>6</v>
      </c>
      <c r="D5" s="79" t="s">
        <v>6</v>
      </c>
      <c r="E5" s="78" t="s">
        <v>2</v>
      </c>
      <c r="F5" s="987" t="s">
        <v>5</v>
      </c>
      <c r="G5" s="840" t="s">
        <v>3</v>
      </c>
      <c r="H5" s="79" t="s">
        <v>6</v>
      </c>
      <c r="I5" s="78" t="s">
        <v>2</v>
      </c>
      <c r="J5" s="987" t="s">
        <v>2</v>
      </c>
      <c r="K5" s="77" t="s">
        <v>3</v>
      </c>
      <c r="L5" s="76" t="s">
        <v>2</v>
      </c>
      <c r="M5" s="987" t="s">
        <v>5</v>
      </c>
      <c r="N5" s="1058" t="s">
        <v>2</v>
      </c>
      <c r="O5" s="987" t="s">
        <v>3</v>
      </c>
      <c r="P5" s="987" t="s">
        <v>5</v>
      </c>
      <c r="Q5" s="77" t="s">
        <v>2</v>
      </c>
      <c r="R5" s="987" t="s">
        <v>2</v>
      </c>
      <c r="S5" s="76" t="s">
        <v>2</v>
      </c>
      <c r="T5" s="76" t="s">
        <v>3</v>
      </c>
      <c r="U5" s="987" t="s">
        <v>4</v>
      </c>
      <c r="V5" s="1060"/>
    </row>
    <row r="6" spans="1:51" ht="19.5" customHeight="1" x14ac:dyDescent="0.2">
      <c r="A6" s="395" t="s">
        <v>13</v>
      </c>
      <c r="B6" s="170" t="s">
        <v>6</v>
      </c>
      <c r="C6" s="170" t="s">
        <v>6</v>
      </c>
      <c r="D6" s="260" t="s">
        <v>6</v>
      </c>
      <c r="E6" s="88">
        <v>142.95099999999999</v>
      </c>
      <c r="F6" s="259">
        <v>146.476</v>
      </c>
      <c r="G6" s="787">
        <v>147.07</v>
      </c>
      <c r="H6" s="260" t="s">
        <v>6</v>
      </c>
      <c r="I6" s="88">
        <v>137.74700000000001</v>
      </c>
      <c r="J6" s="87">
        <v>140.66200000000001</v>
      </c>
      <c r="K6" s="87">
        <v>141.376</v>
      </c>
      <c r="L6" s="87">
        <v>141.49299999999999</v>
      </c>
      <c r="M6" s="87">
        <v>141.91200000000001</v>
      </c>
      <c r="N6" s="87">
        <v>142.12</v>
      </c>
      <c r="O6" s="87">
        <v>142.16899999999998</v>
      </c>
      <c r="P6" s="87">
        <v>143.79633333333334</v>
      </c>
      <c r="Q6" s="87">
        <v>144.16399999999999</v>
      </c>
      <c r="R6" s="87">
        <v>144.67500000000001</v>
      </c>
      <c r="S6" s="87">
        <v>145.53800000000001</v>
      </c>
      <c r="T6" s="87">
        <v>146.02733333333333</v>
      </c>
      <c r="U6" s="259">
        <v>147.41</v>
      </c>
      <c r="V6" s="1060"/>
    </row>
    <row r="7" spans="1:51" s="211" customFormat="1" ht="17.25" customHeight="1" x14ac:dyDescent="0.2">
      <c r="A7" s="272" t="s">
        <v>108</v>
      </c>
      <c r="B7" s="261"/>
      <c r="C7" s="261"/>
      <c r="D7" s="263"/>
      <c r="E7" s="262"/>
      <c r="F7" s="839"/>
      <c r="G7" s="788"/>
      <c r="H7" s="263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559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1" s="210" customFormat="1" ht="17.25" customHeight="1" x14ac:dyDescent="0.2">
      <c r="A8" s="814" t="s">
        <v>332</v>
      </c>
      <c r="B8" s="426">
        <v>100</v>
      </c>
      <c r="C8" s="426">
        <v>105.3008</v>
      </c>
      <c r="D8" s="672">
        <v>104.73921140726286</v>
      </c>
      <c r="E8" s="352">
        <v>105.37433179763121</v>
      </c>
      <c r="F8" s="353">
        <v>104.1040910168945</v>
      </c>
      <c r="G8" s="789">
        <v>104.50513268972415</v>
      </c>
      <c r="H8" s="672">
        <v>98.4202628642457</v>
      </c>
      <c r="I8" s="352">
        <v>103.65961945810334</v>
      </c>
      <c r="J8" s="352">
        <v>100.55100968867644</v>
      </c>
      <c r="K8" s="352">
        <v>95.692020923203444</v>
      </c>
      <c r="L8" s="352">
        <v>97.358129928092637</v>
      </c>
      <c r="M8" s="352">
        <v>95.847589123453986</v>
      </c>
      <c r="N8" s="230">
        <v>96.180018304992359</v>
      </c>
      <c r="O8" s="352">
        <v>98.335928875348301</v>
      </c>
      <c r="P8" s="352">
        <v>102.14612827331688</v>
      </c>
      <c r="Q8" s="352">
        <v>99.224701279290855</v>
      </c>
      <c r="R8" s="352">
        <v>96.462157508434188</v>
      </c>
      <c r="S8" s="230">
        <v>93.54809852631854</v>
      </c>
      <c r="T8" s="230">
        <v>96.079694128580755</v>
      </c>
      <c r="U8" s="305">
        <v>100.61186880107097</v>
      </c>
      <c r="V8" s="559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</row>
    <row r="9" spans="1:51" s="210" customFormat="1" ht="17.25" customHeight="1" x14ac:dyDescent="0.2">
      <c r="A9" s="809" t="s">
        <v>334</v>
      </c>
      <c r="B9" s="428">
        <v>100</v>
      </c>
      <c r="C9" s="428">
        <v>94.821219999999997</v>
      </c>
      <c r="D9" s="673">
        <v>96.229854015530918</v>
      </c>
      <c r="E9" s="125">
        <v>98.934910451745409</v>
      </c>
      <c r="F9" s="127">
        <v>93.524797579316456</v>
      </c>
      <c r="G9" s="841">
        <v>98.275456689226957</v>
      </c>
      <c r="H9" s="673">
        <v>101.25671532815635</v>
      </c>
      <c r="I9" s="125">
        <v>101.7024330830877</v>
      </c>
      <c r="J9" s="125">
        <v>101.72587551667033</v>
      </c>
      <c r="K9" s="125">
        <v>102.81786994963475</v>
      </c>
      <c r="L9" s="125">
        <v>100.47891362438797</v>
      </c>
      <c r="M9" s="125">
        <v>101.84515049610945</v>
      </c>
      <c r="N9" s="126">
        <v>102.02975250435841</v>
      </c>
      <c r="O9" s="125">
        <v>103.77637272586998</v>
      </c>
      <c r="P9" s="125">
        <v>99.773293566192166</v>
      </c>
      <c r="Q9" s="125">
        <v>101.7391420791279</v>
      </c>
      <c r="R9" s="125">
        <v>102.04655902462962</v>
      </c>
      <c r="S9" s="126">
        <v>99.864175161305752</v>
      </c>
      <c r="T9" s="126">
        <v>101.87011788171343</v>
      </c>
      <c r="U9" s="127">
        <v>106.52638806616476</v>
      </c>
      <c r="V9" s="559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</row>
    <row r="10" spans="1:51" s="210" customFormat="1" ht="17.25" customHeight="1" x14ac:dyDescent="0.2">
      <c r="A10" s="809" t="s">
        <v>335</v>
      </c>
      <c r="B10" s="428">
        <v>100</v>
      </c>
      <c r="C10" s="428">
        <v>97.018649999999994</v>
      </c>
      <c r="D10" s="673">
        <v>95.329823944481149</v>
      </c>
      <c r="E10" s="125">
        <v>97.871430815297174</v>
      </c>
      <c r="F10" s="354">
        <v>92.788217073665109</v>
      </c>
      <c r="G10" s="841">
        <v>87.742797971460575</v>
      </c>
      <c r="H10" s="673">
        <v>101.55672535183962</v>
      </c>
      <c r="I10" s="125">
        <v>99.283043250923726</v>
      </c>
      <c r="J10" s="126">
        <v>102.08076328353896</v>
      </c>
      <c r="K10" s="126">
        <v>104.53677312722682</v>
      </c>
      <c r="L10" s="126">
        <v>103.11970756483417</v>
      </c>
      <c r="M10" s="126">
        <v>99.609064540779443</v>
      </c>
      <c r="N10" s="126">
        <v>100.56237907980316</v>
      </c>
      <c r="O10" s="126">
        <v>101.30051590625804</v>
      </c>
      <c r="P10" s="126">
        <v>100.9240541427864</v>
      </c>
      <c r="Q10" s="126">
        <v>103.69092228711804</v>
      </c>
      <c r="R10" s="126">
        <v>102.55067861592575</v>
      </c>
      <c r="S10" s="126">
        <v>100.60353664481961</v>
      </c>
      <c r="T10" s="126">
        <v>104.29763977319442</v>
      </c>
      <c r="U10" s="354">
        <v>101.18468568789862</v>
      </c>
      <c r="V10" s="559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</row>
    <row r="11" spans="1:51" s="210" customFormat="1" ht="17.25" customHeight="1" x14ac:dyDescent="0.2">
      <c r="A11" s="809" t="s">
        <v>326</v>
      </c>
      <c r="B11" s="428">
        <v>100</v>
      </c>
      <c r="C11" s="429">
        <v>99.042437631578935</v>
      </c>
      <c r="D11" s="726">
        <v>98.9033687974418</v>
      </c>
      <c r="E11" s="125">
        <v>100.88625042445938</v>
      </c>
      <c r="F11" s="127">
        <v>96.920487170424224</v>
      </c>
      <c r="G11" s="841">
        <v>98.703610752166512</v>
      </c>
      <c r="H11" s="726">
        <v>100.40266819746306</v>
      </c>
      <c r="I11" s="125">
        <v>101.68098878546793</v>
      </c>
      <c r="J11" s="125">
        <v>101.43601755452568</v>
      </c>
      <c r="K11" s="125">
        <v>100.25504984619049</v>
      </c>
      <c r="L11" s="125">
        <v>100.31891703910492</v>
      </c>
      <c r="M11" s="125">
        <v>99.100601386780966</v>
      </c>
      <c r="N11" s="125">
        <v>99.560352178152826</v>
      </c>
      <c r="O11" s="125">
        <v>101.13760583582543</v>
      </c>
      <c r="P11" s="125">
        <v>100.94856817695198</v>
      </c>
      <c r="Q11" s="125">
        <v>101.48869970339818</v>
      </c>
      <c r="R11" s="125">
        <v>100.23869129845058</v>
      </c>
      <c r="S11" s="125">
        <v>97.931033924128783</v>
      </c>
      <c r="T11" s="125">
        <v>100.08208538507972</v>
      </c>
      <c r="U11" s="127">
        <v>102.77431418504479</v>
      </c>
      <c r="V11" s="559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</row>
    <row r="12" spans="1:51" s="210" customFormat="1" ht="17.25" customHeight="1" x14ac:dyDescent="0.2">
      <c r="A12" s="810" t="s">
        <v>327</v>
      </c>
      <c r="B12" s="428">
        <v>100</v>
      </c>
      <c r="C12" s="428">
        <v>96.313938050000004</v>
      </c>
      <c r="D12" s="673">
        <v>95.368214152742055</v>
      </c>
      <c r="E12" s="125">
        <v>95.473511455110255</v>
      </c>
      <c r="F12" s="127">
        <v>95.262916850373827</v>
      </c>
      <c r="G12" s="841">
        <v>88.807402085459941</v>
      </c>
      <c r="H12" s="673">
        <v>101.54392861575265</v>
      </c>
      <c r="I12" s="125">
        <v>93.300650790043917</v>
      </c>
      <c r="J12" s="125">
        <v>101.53032321899394</v>
      </c>
      <c r="K12" s="125">
        <v>97.448927525412074</v>
      </c>
      <c r="L12" s="125">
        <v>104.85570844948199</v>
      </c>
      <c r="M12" s="125">
        <v>91.320741643549042</v>
      </c>
      <c r="N12" s="125">
        <v>102.08753181977451</v>
      </c>
      <c r="O12" s="125">
        <v>91.718274010207793</v>
      </c>
      <c r="P12" s="125">
        <v>93.911835054254368</v>
      </c>
      <c r="Q12" s="125">
        <v>113.49056859681747</v>
      </c>
      <c r="R12" s="125">
        <v>103.95007667337255</v>
      </c>
      <c r="S12" s="125">
        <v>93.998788819404041</v>
      </c>
      <c r="T12" s="125">
        <v>108.02658747574711</v>
      </c>
      <c r="U12" s="127">
        <v>82.19344584831174</v>
      </c>
      <c r="V12" s="559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</row>
    <row r="13" spans="1:51" s="210" customFormat="1" ht="33.6" customHeight="1" x14ac:dyDescent="0.2">
      <c r="A13" s="832" t="s">
        <v>333</v>
      </c>
      <c r="B13" s="231">
        <v>100</v>
      </c>
      <c r="C13" s="231">
        <v>98.840469999999996</v>
      </c>
      <c r="D13" s="660">
        <v>100.86977206801653</v>
      </c>
      <c r="E13" s="233">
        <v>101.41702281476034</v>
      </c>
      <c r="F13" s="238">
        <v>100.3225213212727</v>
      </c>
      <c r="G13" s="842">
        <v>102.14063817457696</v>
      </c>
      <c r="H13" s="660">
        <v>99.710075977327818</v>
      </c>
      <c r="I13" s="233">
        <v>105.32801242661316</v>
      </c>
      <c r="J13" s="233">
        <v>100.22731016160714</v>
      </c>
      <c r="K13" s="233">
        <v>97.898199311166621</v>
      </c>
      <c r="L13" s="233">
        <v>98.058558656366841</v>
      </c>
      <c r="M13" s="233">
        <v>99.607086643383028</v>
      </c>
      <c r="N13" s="232">
        <v>97.440339399807385</v>
      </c>
      <c r="O13" s="233">
        <v>96.607306094803462</v>
      </c>
      <c r="P13" s="233">
        <v>100.33340242290053</v>
      </c>
      <c r="Q13" s="233">
        <v>100.30397058553041</v>
      </c>
      <c r="R13" s="233">
        <v>97.312137912036761</v>
      </c>
      <c r="S13" s="232">
        <v>96.902264634041984</v>
      </c>
      <c r="T13" s="232">
        <v>99.133017911932569</v>
      </c>
      <c r="U13" s="238">
        <v>100.98740640382776</v>
      </c>
      <c r="V13" s="559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</row>
    <row r="14" spans="1:51" s="264" customFormat="1" ht="18" customHeight="1" x14ac:dyDescent="0.2">
      <c r="A14" s="399" t="s">
        <v>38</v>
      </c>
      <c r="B14" s="261"/>
      <c r="C14" s="261"/>
      <c r="D14" s="263"/>
      <c r="E14" s="262"/>
      <c r="F14" s="262"/>
      <c r="G14" s="262"/>
      <c r="H14" s="263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559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</row>
    <row r="15" spans="1:51" s="210" customFormat="1" ht="17.25" customHeight="1" x14ac:dyDescent="0.2">
      <c r="A15" s="811" t="s">
        <v>328</v>
      </c>
      <c r="B15" s="430">
        <v>100</v>
      </c>
      <c r="C15" s="430">
        <v>119.3365</v>
      </c>
      <c r="D15" s="675">
        <v>112.65247727078655</v>
      </c>
      <c r="E15" s="674">
        <v>112.38281511115441</v>
      </c>
      <c r="F15" s="127">
        <v>112.92213943041868</v>
      </c>
      <c r="G15" s="866">
        <v>107.01426436344514</v>
      </c>
      <c r="H15" s="675">
        <v>95.782507576404484</v>
      </c>
      <c r="I15" s="674">
        <v>101.45204147178822</v>
      </c>
      <c r="J15" s="674">
        <v>104.94139881807561</v>
      </c>
      <c r="K15" s="674">
        <v>81.656661341143788</v>
      </c>
      <c r="L15" s="674">
        <v>93.81472869153599</v>
      </c>
      <c r="M15" s="674">
        <v>77.400471957798089</v>
      </c>
      <c r="N15" s="657">
        <v>93.946069646733463</v>
      </c>
      <c r="O15" s="674">
        <v>108.02068122000631</v>
      </c>
      <c r="P15" s="674">
        <v>112.45663619054571</v>
      </c>
      <c r="Q15" s="674">
        <v>98.830032970435809</v>
      </c>
      <c r="R15" s="674">
        <v>93.416551283672504</v>
      </c>
      <c r="S15" s="657">
        <v>81.710773859857767</v>
      </c>
      <c r="T15" s="657">
        <v>98.12827376899881</v>
      </c>
      <c r="U15" s="1124">
        <v>98.045826669170907</v>
      </c>
      <c r="V15" s="559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</row>
    <row r="16" spans="1:51" s="210" customFormat="1" ht="18" customHeight="1" x14ac:dyDescent="0.2">
      <c r="A16" s="397" t="s">
        <v>17</v>
      </c>
      <c r="B16" s="276"/>
      <c r="C16" s="276"/>
      <c r="D16" s="867"/>
      <c r="E16" s="662"/>
      <c r="F16" s="126"/>
      <c r="G16" s="662"/>
      <c r="H16" s="867"/>
      <c r="I16" s="674"/>
      <c r="J16" s="674"/>
      <c r="K16" s="674"/>
      <c r="L16" s="674"/>
      <c r="M16" s="674"/>
      <c r="N16" s="657"/>
      <c r="O16" s="674"/>
      <c r="P16" s="674"/>
      <c r="Q16" s="674"/>
      <c r="R16" s="674"/>
      <c r="S16" s="657"/>
      <c r="T16" s="657"/>
      <c r="U16" s="662"/>
      <c r="V16" s="559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</row>
    <row r="17" spans="1:51" s="210" customFormat="1" ht="17.25" customHeight="1" x14ac:dyDescent="0.2">
      <c r="A17" s="812" t="s">
        <v>329</v>
      </c>
      <c r="B17" s="426">
        <v>100</v>
      </c>
      <c r="C17" s="426">
        <v>92.282330000000002</v>
      </c>
      <c r="D17" s="672">
        <v>95.997052461824183</v>
      </c>
      <c r="E17" s="352">
        <v>96.987913036775964</v>
      </c>
      <c r="F17" s="127">
        <v>95.006191886872386</v>
      </c>
      <c r="G17" s="789">
        <v>97.903828621580189</v>
      </c>
      <c r="H17" s="672">
        <v>101.3343158460586</v>
      </c>
      <c r="I17" s="674">
        <v>100.1762385002303</v>
      </c>
      <c r="J17" s="674">
        <v>103.06568364727778</v>
      </c>
      <c r="K17" s="674">
        <v>102.9658061380222</v>
      </c>
      <c r="L17" s="674">
        <v>100.73304571277403</v>
      </c>
      <c r="M17" s="674">
        <v>107.25512880072382</v>
      </c>
      <c r="N17" s="657">
        <v>101.85120471035383</v>
      </c>
      <c r="O17" s="674">
        <v>97.480732787578773</v>
      </c>
      <c r="P17" s="674">
        <v>94.68468814176363</v>
      </c>
      <c r="Q17" s="674">
        <v>101.65825968727425</v>
      </c>
      <c r="R17" s="674">
        <v>99.368269508809135</v>
      </c>
      <c r="S17" s="657">
        <v>100.52146281844148</v>
      </c>
      <c r="T17" s="657">
        <v>100.67506460766157</v>
      </c>
      <c r="U17" s="305">
        <v>99.345059227872284</v>
      </c>
      <c r="V17" s="559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</row>
    <row r="18" spans="1:51" s="433" customFormat="1" ht="17.25" customHeight="1" x14ac:dyDescent="0.2">
      <c r="A18" s="1039" t="s">
        <v>366</v>
      </c>
      <c r="B18" s="431">
        <f>65+6.88423472298324</f>
        <v>71.884234722983237</v>
      </c>
      <c r="C18" s="431">
        <v>6.9647459999999999</v>
      </c>
      <c r="D18" s="676">
        <f>65+7.08518806339936</f>
        <v>72.085188063399357</v>
      </c>
      <c r="E18" s="666">
        <f>65+6.65163078282825</f>
        <v>71.651630782828249</v>
      </c>
      <c r="F18" s="362">
        <f>65+7.51874534397045</f>
        <v>72.518745343970451</v>
      </c>
      <c r="G18" s="355">
        <f>65+7.25801779327693</f>
        <v>72.258017793276935</v>
      </c>
      <c r="H18" s="676">
        <f>65+6.81725027617787</f>
        <v>71.817250276177873</v>
      </c>
      <c r="I18" s="444">
        <f>65+8.09821960921721</f>
        <v>73.09821960921721</v>
      </c>
      <c r="J18" s="444">
        <f>65+6.29457163139273</f>
        <v>71.294571631392728</v>
      </c>
      <c r="K18" s="444">
        <f>65+6.87738246413139</f>
        <v>71.877382464131387</v>
      </c>
      <c r="L18" s="444">
        <f>65+6.53791201063713</f>
        <v>71.537912010637129</v>
      </c>
      <c r="M18" s="444">
        <f>65+6.32041041192898</f>
        <v>71.320410411928975</v>
      </c>
      <c r="N18" s="692">
        <f>65+6.37929130814635</f>
        <v>71.37929130814635</v>
      </c>
      <c r="O18" s="444">
        <f>65+7.75634745322037</f>
        <v>72.756347453220371</v>
      </c>
      <c r="P18" s="444">
        <f>65+7.32179217545698</f>
        <v>72.321792175456977</v>
      </c>
      <c r="Q18" s="444">
        <f>65+6.58750990547051</f>
        <v>71.587509905470512</v>
      </c>
      <c r="R18" s="444">
        <f>65+7.24791201063712</f>
        <v>72.247912010637123</v>
      </c>
      <c r="S18" s="692">
        <f>65+7.0059971922033</f>
        <v>72.005997192203296</v>
      </c>
      <c r="T18" s="692">
        <f>65+6.75849357524248</f>
        <v>71.758493575242483</v>
      </c>
      <c r="U18" s="362">
        <f>65+7.90301411988706</f>
        <v>72.903014119887061</v>
      </c>
      <c r="V18" s="638"/>
      <c r="W18" s="432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432"/>
      <c r="AK18" s="432"/>
      <c r="AL18" s="432"/>
      <c r="AM18" s="432"/>
      <c r="AN18" s="432"/>
      <c r="AO18" s="432"/>
      <c r="AP18" s="432"/>
      <c r="AQ18" s="432"/>
      <c r="AR18" s="432"/>
      <c r="AS18" s="432"/>
      <c r="AT18" s="432"/>
      <c r="AU18" s="432"/>
      <c r="AV18" s="432"/>
      <c r="AW18" s="432"/>
      <c r="AX18" s="432"/>
      <c r="AY18" s="432"/>
    </row>
    <row r="19" spans="1:51" s="210" customFormat="1" ht="17.25" customHeight="1" x14ac:dyDescent="0.2">
      <c r="A19" s="813" t="s">
        <v>330</v>
      </c>
      <c r="B19" s="428">
        <v>100</v>
      </c>
      <c r="C19" s="428">
        <v>111.9648</v>
      </c>
      <c r="D19" s="673">
        <v>113.22823545185184</v>
      </c>
      <c r="E19" s="125">
        <v>115.82736009492285</v>
      </c>
      <c r="F19" s="127">
        <v>110.62911080878082</v>
      </c>
      <c r="G19" s="841">
        <v>114.68690154543206</v>
      </c>
      <c r="H19" s="673">
        <v>95.590588182716061</v>
      </c>
      <c r="I19" s="674">
        <v>108.76574311098992</v>
      </c>
      <c r="J19" s="125">
        <v>95.189091689224171</v>
      </c>
      <c r="K19" s="125">
        <v>85.434307900888882</v>
      </c>
      <c r="L19" s="125">
        <v>93.515167225418907</v>
      </c>
      <c r="M19" s="125">
        <v>88.762864944130143</v>
      </c>
      <c r="N19" s="126">
        <v>89.097887474309132</v>
      </c>
      <c r="O19" s="125">
        <v>92.908040375599299</v>
      </c>
      <c r="P19" s="125">
        <v>114.33817418338921</v>
      </c>
      <c r="Q19" s="125">
        <v>97.71927316736955</v>
      </c>
      <c r="R19" s="125">
        <v>92.533700672512367</v>
      </c>
      <c r="S19" s="126">
        <v>89.256366428984663</v>
      </c>
      <c r="T19" s="126">
        <v>98.31546617876046</v>
      </c>
      <c r="U19" s="127">
        <v>104.63302430867239</v>
      </c>
      <c r="V19" s="559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</row>
    <row r="20" spans="1:51" s="433" customFormat="1" ht="17.25" customHeight="1" x14ac:dyDescent="0.2">
      <c r="A20" s="1040" t="s">
        <v>367</v>
      </c>
      <c r="B20" s="431">
        <f>65+5.31160533735556</f>
        <v>70.311605337355559</v>
      </c>
      <c r="C20" s="431">
        <v>4.1663209999999999</v>
      </c>
      <c r="D20" s="676">
        <f>65+2.23083173639004</f>
        <v>67.230831736390044</v>
      </c>
      <c r="E20" s="666">
        <f>65+1.35610373886372</f>
        <v>66.356103738863723</v>
      </c>
      <c r="F20" s="362">
        <f>65+3.10555973391637</f>
        <v>68.105559733916365</v>
      </c>
      <c r="G20" s="355">
        <f>65+1.24989924010475</f>
        <v>66.249899240104753</v>
      </c>
      <c r="H20" s="676">
        <f>65+6.33852987101073</f>
        <v>71.338529871010735</v>
      </c>
      <c r="I20" s="666">
        <f>65+6.52045153300281</f>
        <v>71.520451533002813</v>
      </c>
      <c r="J20" s="666">
        <f>65+5.90478064031531</f>
        <v>70.904780640315309</v>
      </c>
      <c r="K20" s="666">
        <f>65+8.39672466394984</f>
        <v>73.39672466394984</v>
      </c>
      <c r="L20" s="666">
        <f>65+6.16465064300728</f>
        <v>71.164650643007278</v>
      </c>
      <c r="M20" s="666">
        <f>65+5.99612628795673</f>
        <v>70.996126287956727</v>
      </c>
      <c r="N20" s="361">
        <f>65+6.78376984635389</f>
        <v>71.783769846353891</v>
      </c>
      <c r="O20" s="666">
        <f>65+4.5764130131972</f>
        <v>69.576413013197197</v>
      </c>
      <c r="P20" s="666">
        <f>65+1.84381388741016</f>
        <v>66.843813887410164</v>
      </c>
      <c r="Q20" s="666">
        <f>65+5.98102945928257</f>
        <v>70.981029459282567</v>
      </c>
      <c r="R20" s="666">
        <f>65+6.22555973391636</f>
        <v>71.225559733916356</v>
      </c>
      <c r="S20" s="361">
        <f>65+6.67649710410257</f>
        <v>71.676497104102566</v>
      </c>
      <c r="T20" s="361">
        <f>65+4.03450244172762</f>
        <v>69.034502441727625</v>
      </c>
      <c r="U20" s="362">
        <f>65+3.46974634653054</f>
        <v>68.469746346530542</v>
      </c>
      <c r="V20" s="638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</row>
    <row r="21" spans="1:51" s="210" customFormat="1" ht="17.25" customHeight="1" x14ac:dyDescent="0.2">
      <c r="A21" s="854" t="s">
        <v>331</v>
      </c>
      <c r="B21" s="231">
        <v>100</v>
      </c>
      <c r="C21" s="231">
        <v>110.9971</v>
      </c>
      <c r="D21" s="660">
        <v>106.45602741128319</v>
      </c>
      <c r="E21" s="233">
        <v>105.57442262231586</v>
      </c>
      <c r="F21" s="238">
        <v>107.33763220025055</v>
      </c>
      <c r="G21" s="842">
        <v>104.17930963947191</v>
      </c>
      <c r="H21" s="660">
        <v>97.84799086290559</v>
      </c>
      <c r="I21" s="233">
        <v>104.63981389644549</v>
      </c>
      <c r="J21" s="233">
        <v>100.23920263305901</v>
      </c>
      <c r="K21" s="233">
        <v>98.335751041248528</v>
      </c>
      <c r="L21" s="233">
        <v>97.211173174429391</v>
      </c>
      <c r="M21" s="233">
        <v>93.062770971330394</v>
      </c>
      <c r="N21" s="232">
        <v>95.311580676152658</v>
      </c>
      <c r="O21" s="233">
        <v>100.31651949196943</v>
      </c>
      <c r="P21" s="233">
        <v>99.483700482994834</v>
      </c>
      <c r="Q21" s="233">
        <v>97.691392486418863</v>
      </c>
      <c r="R21" s="233">
        <v>96.758978589831969</v>
      </c>
      <c r="S21" s="232">
        <v>91.994782310928159</v>
      </c>
      <c r="T21" s="232">
        <v>89.063287360269143</v>
      </c>
      <c r="U21" s="238">
        <v>99.962862831776818</v>
      </c>
      <c r="V21" s="559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</row>
    <row r="22" spans="1:51" s="265" customFormat="1" ht="18" customHeight="1" x14ac:dyDescent="0.2">
      <c r="A22" s="411" t="s">
        <v>18</v>
      </c>
      <c r="B22" s="261"/>
      <c r="C22" s="261"/>
      <c r="D22" s="263"/>
      <c r="E22" s="262"/>
      <c r="F22" s="262"/>
      <c r="G22" s="262"/>
      <c r="H22" s="263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559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</row>
    <row r="23" spans="1:51" s="208" customFormat="1" ht="17.25" customHeight="1" x14ac:dyDescent="0.2">
      <c r="A23" s="392" t="s">
        <v>131</v>
      </c>
      <c r="B23" s="426">
        <v>58.394766444253932</v>
      </c>
      <c r="C23" s="426"/>
      <c r="D23" s="672">
        <v>58.192157151365542</v>
      </c>
      <c r="E23" s="352">
        <v>60.02605005065422</v>
      </c>
      <c r="F23" s="353">
        <v>56.358264252076864</v>
      </c>
      <c r="G23" s="1036">
        <v>61.723094293512403</v>
      </c>
      <c r="H23" s="672">
        <v>58.462302875216729</v>
      </c>
      <c r="I23" s="352">
        <v>59.522647059688886</v>
      </c>
      <c r="J23" s="230">
        <v>60.531562089728624</v>
      </c>
      <c r="K23" s="230">
        <v>59.459699343963699</v>
      </c>
      <c r="L23" s="230">
        <v>58.024930918743536</v>
      </c>
      <c r="M23" s="230">
        <v>62.374832040921618</v>
      </c>
      <c r="N23" s="230">
        <v>56.532369502833248</v>
      </c>
      <c r="O23" s="230">
        <v>58.667205379739983</v>
      </c>
      <c r="P23" s="230">
        <v>53.829624147483642</v>
      </c>
      <c r="Q23" s="230">
        <v>58.075820622360105</v>
      </c>
      <c r="R23" s="230">
        <v>57.719430918743555</v>
      </c>
      <c r="S23" s="230">
        <v>58.086487057945973</v>
      </c>
      <c r="T23" s="230">
        <v>56.313949357464573</v>
      </c>
      <c r="U23" s="353">
        <v>54.570038713073316</v>
      </c>
      <c r="V23" s="559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65"/>
    </row>
    <row r="24" spans="1:51" s="210" customFormat="1" ht="17.25" customHeight="1" x14ac:dyDescent="0.2">
      <c r="A24" s="435" t="s">
        <v>129</v>
      </c>
      <c r="B24" s="428">
        <v>54.372194600217661</v>
      </c>
      <c r="C24" s="428"/>
      <c r="D24" s="673">
        <v>50.491212109323037</v>
      </c>
      <c r="E24" s="125">
        <v>52.534908779703265</v>
      </c>
      <c r="F24" s="127">
        <v>48.447515438942808</v>
      </c>
      <c r="G24" s="841">
        <v>51.49775635223736</v>
      </c>
      <c r="H24" s="673">
        <v>55.665855430515869</v>
      </c>
      <c r="I24" s="125">
        <v>54.599595830257869</v>
      </c>
      <c r="J24" s="125">
        <v>55.117171059573344</v>
      </c>
      <c r="K24" s="125">
        <v>58.26266445655947</v>
      </c>
      <c r="L24" s="125">
        <v>56.335265438942798</v>
      </c>
      <c r="M24" s="125">
        <v>59.595888756590462</v>
      </c>
      <c r="N24" s="126">
        <v>54.759391570346295</v>
      </c>
      <c r="O24" s="125">
        <v>57.328162868116983</v>
      </c>
      <c r="P24" s="125">
        <v>49.559573936623053</v>
      </c>
      <c r="Q24" s="125">
        <v>53.460714903340637</v>
      </c>
      <c r="R24" s="125">
        <v>55.162155165242105</v>
      </c>
      <c r="S24" s="126">
        <v>59.722993780634248</v>
      </c>
      <c r="T24" s="126">
        <v>53.819664456559451</v>
      </c>
      <c r="U24" s="127">
        <v>51.237829534783657</v>
      </c>
      <c r="V24" s="559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</row>
    <row r="25" spans="1:51" s="210" customFormat="1" ht="17.25" customHeight="1" x14ac:dyDescent="0.2">
      <c r="A25" s="435" t="s">
        <v>27</v>
      </c>
      <c r="B25" s="231">
        <v>52.925846713297311</v>
      </c>
      <c r="C25" s="231"/>
      <c r="D25" s="660">
        <v>44.465594661298681</v>
      </c>
      <c r="E25" s="233">
        <v>46.185601451074859</v>
      </c>
      <c r="F25" s="238">
        <v>42.745587871522496</v>
      </c>
      <c r="G25" s="698">
        <v>47.103232399073988</v>
      </c>
      <c r="H25" s="660">
        <v>55.745930730630185</v>
      </c>
      <c r="I25" s="233">
        <v>54.937548292992062</v>
      </c>
      <c r="J25" s="233">
        <v>52.273840087411514</v>
      </c>
      <c r="K25" s="233">
        <v>57.33623831192741</v>
      </c>
      <c r="L25" s="233">
        <v>55.105285067168722</v>
      </c>
      <c r="M25" s="233">
        <v>58.291021410754787</v>
      </c>
      <c r="N25" s="232">
        <v>56.870325406843826</v>
      </c>
      <c r="O25" s="233">
        <v>59.822186051547625</v>
      </c>
      <c r="P25" s="233">
        <v>47.54195709573078</v>
      </c>
      <c r="Q25" s="233">
        <v>51.791880499378564</v>
      </c>
      <c r="R25" s="233">
        <v>57.252379235241314</v>
      </c>
      <c r="S25" s="232">
        <v>63.49670502998643</v>
      </c>
      <c r="T25" s="232">
        <v>52.781738311927406</v>
      </c>
      <c r="U25" s="238">
        <v>55.096533157882682</v>
      </c>
      <c r="V25" s="559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51" s="208" customFormat="1" ht="17.25" customHeight="1" x14ac:dyDescent="0.2">
      <c r="A26" s="436" t="s">
        <v>130</v>
      </c>
      <c r="B26" s="431">
        <v>4.1321090298248775</v>
      </c>
      <c r="C26" s="431"/>
      <c r="D26" s="676">
        <v>3.6101895616811319</v>
      </c>
      <c r="E26" s="666">
        <v>3.777655302258947</v>
      </c>
      <c r="F26" s="362">
        <v>3.4427238211033169</v>
      </c>
      <c r="G26" s="355">
        <v>3.7904053956890786</v>
      </c>
      <c r="H26" s="676">
        <v>4.3060821858727918</v>
      </c>
      <c r="I26" s="666">
        <v>4.2243119874271509</v>
      </c>
      <c r="J26" s="666">
        <v>4.1428090708192613</v>
      </c>
      <c r="K26" s="666">
        <v>4.4875525447370572</v>
      </c>
      <c r="L26" s="666">
        <v>4.3077038093893218</v>
      </c>
      <c r="M26" s="666">
        <v>4.5865088647376817</v>
      </c>
      <c r="N26" s="361">
        <v>4.3115377407668758</v>
      </c>
      <c r="O26" s="666">
        <v>4.5448465450770055</v>
      </c>
      <c r="P26" s="666">
        <v>3.6916965470716159</v>
      </c>
      <c r="Q26" s="666">
        <v>4.0400747511676043</v>
      </c>
      <c r="R26" s="666">
        <v>4.3498286128209083</v>
      </c>
      <c r="S26" s="361">
        <v>4.8100557556665402</v>
      </c>
      <c r="T26" s="361">
        <v>4.0984106697370564</v>
      </c>
      <c r="U26" s="362">
        <v>4.0716894653942699</v>
      </c>
      <c r="V26" s="559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</row>
    <row r="27" spans="1:51" s="218" customFormat="1" ht="17.25" customHeight="1" x14ac:dyDescent="0.2">
      <c r="A27" s="437" t="s">
        <v>7</v>
      </c>
      <c r="B27" s="438">
        <v>7.3163184085077893</v>
      </c>
      <c r="C27" s="438"/>
      <c r="D27" s="678">
        <v>7.3864150852346215</v>
      </c>
      <c r="E27" s="388">
        <v>7.5682316602198592</v>
      </c>
      <c r="F27" s="677">
        <v>7.2045985102493839</v>
      </c>
      <c r="G27" s="843">
        <v>7.4905685821446912</v>
      </c>
      <c r="H27" s="678">
        <v>7.292952849598846</v>
      </c>
      <c r="I27" s="388">
        <v>7.1869975057225384</v>
      </c>
      <c r="J27" s="388">
        <v>7.3709544313495821</v>
      </c>
      <c r="K27" s="807">
        <v>7.3427679845323635</v>
      </c>
      <c r="L27" s="388">
        <v>7.3216918278396701</v>
      </c>
      <c r="M27" s="388">
        <v>7.3113958012391933</v>
      </c>
      <c r="N27" s="390">
        <v>7.3436420957038857</v>
      </c>
      <c r="O27" s="388">
        <v>7.7361731611270494</v>
      </c>
      <c r="P27" s="388">
        <v>7.3821039973874401</v>
      </c>
      <c r="Q27" s="388">
        <v>7.3439294534390358</v>
      </c>
      <c r="R27" s="388">
        <v>7.2690354163044599</v>
      </c>
      <c r="S27" s="390">
        <v>7.1905017835383607</v>
      </c>
      <c r="T27" s="808">
        <v>7.3427679845323635</v>
      </c>
      <c r="U27" s="677">
        <v>7.2778398306576344</v>
      </c>
      <c r="V27" s="559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</row>
    <row r="28" spans="1:51" s="270" customFormat="1" ht="18" customHeight="1" x14ac:dyDescent="0.2">
      <c r="A28" s="399" t="s">
        <v>19</v>
      </c>
      <c r="B28" s="266"/>
      <c r="C28" s="266"/>
      <c r="D28" s="268"/>
      <c r="E28" s="267"/>
      <c r="F28" s="267"/>
      <c r="G28" s="661"/>
      <c r="H28" s="268"/>
      <c r="I28" s="267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7"/>
      <c r="V28" s="1130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</row>
    <row r="29" spans="1:51" s="442" customFormat="1" ht="17.25" customHeight="1" x14ac:dyDescent="0.2">
      <c r="A29" s="439" t="s">
        <v>32</v>
      </c>
      <c r="B29" s="440">
        <v>6.21875</v>
      </c>
      <c r="C29" s="440"/>
      <c r="D29" s="816">
        <v>3.75</v>
      </c>
      <c r="E29" s="441">
        <v>3.85</v>
      </c>
      <c r="F29" s="844">
        <v>3.65</v>
      </c>
      <c r="G29" s="848" t="s">
        <v>155</v>
      </c>
      <c r="H29" s="816">
        <v>7.041666666666667</v>
      </c>
      <c r="I29" s="441">
        <v>5.7</v>
      </c>
      <c r="J29" s="679">
        <v>6.75</v>
      </c>
      <c r="K29" s="679">
        <v>7.75</v>
      </c>
      <c r="L29" s="679">
        <v>6.75</v>
      </c>
      <c r="M29" s="679">
        <v>6.7</v>
      </c>
      <c r="N29" s="680">
        <v>7.55</v>
      </c>
      <c r="O29" s="1013" t="s">
        <v>6</v>
      </c>
      <c r="P29" s="681">
        <v>6.6</v>
      </c>
      <c r="Q29" s="681">
        <v>7.85</v>
      </c>
      <c r="R29" s="679">
        <v>7.5</v>
      </c>
      <c r="S29" s="680">
        <v>7.65</v>
      </c>
      <c r="T29" s="680">
        <v>7.1</v>
      </c>
      <c r="U29" s="1125" t="s">
        <v>6</v>
      </c>
      <c r="V29" s="113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</row>
    <row r="30" spans="1:51" s="442" customFormat="1" ht="17.25" customHeight="1" x14ac:dyDescent="0.2">
      <c r="A30" s="443" t="s">
        <v>10</v>
      </c>
      <c r="B30" s="440">
        <v>7.2062500000000007</v>
      </c>
      <c r="C30" s="380"/>
      <c r="D30" s="676">
        <v>6.3</v>
      </c>
      <c r="E30" s="386">
        <v>4.4000000000000004</v>
      </c>
      <c r="F30" s="845">
        <v>8.1999999999999993</v>
      </c>
      <c r="G30" s="849">
        <v>6.45</v>
      </c>
      <c r="H30" s="676">
        <v>7.5083333333333337</v>
      </c>
      <c r="I30" s="386">
        <v>7.4</v>
      </c>
      <c r="J30" s="385">
        <v>8.0500000000000007</v>
      </c>
      <c r="K30" s="385">
        <v>7.9</v>
      </c>
      <c r="L30" s="385">
        <v>7.55</v>
      </c>
      <c r="M30" s="385">
        <v>7.55</v>
      </c>
      <c r="N30" s="385">
        <v>7.5</v>
      </c>
      <c r="O30" s="385">
        <v>8.8000000000000007</v>
      </c>
      <c r="P30" s="441">
        <v>7.75</v>
      </c>
      <c r="Q30" s="441">
        <v>8.1</v>
      </c>
      <c r="R30" s="385">
        <v>6.9</v>
      </c>
      <c r="S30" s="385">
        <v>6.45</v>
      </c>
      <c r="T30" s="385">
        <v>7.15</v>
      </c>
      <c r="U30" s="1126">
        <v>7.85</v>
      </c>
      <c r="V30" s="113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</row>
    <row r="31" spans="1:51" s="445" customFormat="1" ht="17.25" customHeight="1" x14ac:dyDescent="0.2">
      <c r="A31" s="401" t="s">
        <v>105</v>
      </c>
      <c r="B31" s="440">
        <v>6.7187499999999982</v>
      </c>
      <c r="C31" s="382"/>
      <c r="D31" s="676">
        <v>4.55</v>
      </c>
      <c r="E31" s="389">
        <v>6.2</v>
      </c>
      <c r="F31" s="846">
        <v>2.9</v>
      </c>
      <c r="G31" s="358">
        <v>8.9499999999999993</v>
      </c>
      <c r="H31" s="676">
        <v>7.4416666666666664</v>
      </c>
      <c r="I31" s="389">
        <v>3.5</v>
      </c>
      <c r="J31" s="389" t="s">
        <v>336</v>
      </c>
      <c r="K31" s="819" t="s">
        <v>337</v>
      </c>
      <c r="L31" s="389">
        <v>8.1999999999999993</v>
      </c>
      <c r="M31" s="389">
        <v>8.35</v>
      </c>
      <c r="N31" s="390">
        <v>7.7</v>
      </c>
      <c r="O31" s="819" t="s">
        <v>6</v>
      </c>
      <c r="P31" s="444">
        <v>7.65</v>
      </c>
      <c r="Q31" s="444">
        <v>7.7</v>
      </c>
      <c r="R31" s="389">
        <v>6.9</v>
      </c>
      <c r="S31" s="390">
        <v>8.9499999999999993</v>
      </c>
      <c r="T31" s="818" t="s">
        <v>163</v>
      </c>
      <c r="U31" s="1127" t="s">
        <v>6</v>
      </c>
      <c r="V31" s="113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</row>
    <row r="32" spans="1:51" s="442" customFormat="1" ht="17.25" customHeight="1" x14ac:dyDescent="0.2">
      <c r="A32" s="447" t="s">
        <v>8</v>
      </c>
      <c r="B32" s="440">
        <v>6.6937500000000005</v>
      </c>
      <c r="C32" s="382"/>
      <c r="D32" s="678">
        <v>5.5250000000000004</v>
      </c>
      <c r="E32" s="388">
        <v>6.75</v>
      </c>
      <c r="F32" s="847">
        <v>4.3</v>
      </c>
      <c r="G32" s="850">
        <v>7.55</v>
      </c>
      <c r="H32" s="678">
        <v>7.083333333333333</v>
      </c>
      <c r="I32" s="389">
        <v>3.5</v>
      </c>
      <c r="J32" s="389">
        <v>6.9</v>
      </c>
      <c r="K32" s="389">
        <v>6.9</v>
      </c>
      <c r="L32" s="389">
        <v>8.35</v>
      </c>
      <c r="M32" s="388">
        <v>3.9</v>
      </c>
      <c r="N32" s="389">
        <v>8.15</v>
      </c>
      <c r="O32" s="388">
        <v>7.35</v>
      </c>
      <c r="P32" s="389">
        <v>6.35</v>
      </c>
      <c r="Q32" s="387">
        <v>7.75</v>
      </c>
      <c r="R32" s="389">
        <v>7.65</v>
      </c>
      <c r="S32" s="389">
        <v>7.85</v>
      </c>
      <c r="T32" s="389">
        <v>9</v>
      </c>
      <c r="U32" s="677">
        <v>2.4</v>
      </c>
      <c r="V32" s="113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</row>
    <row r="33" spans="1:51" s="83" customFormat="1" ht="10.5" customHeight="1" x14ac:dyDescent="0.2">
      <c r="A33" s="412"/>
      <c r="B33" s="256"/>
      <c r="C33" s="256"/>
      <c r="D33" s="258"/>
      <c r="E33" s="257"/>
      <c r="F33" s="257"/>
      <c r="G33" s="629"/>
      <c r="H33" s="258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1132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</row>
    <row r="34" spans="1:51" s="206" customFormat="1" ht="17.25" customHeight="1" x14ac:dyDescent="0.2">
      <c r="A34" s="394" t="s">
        <v>11</v>
      </c>
      <c r="B34" s="60" t="s">
        <v>6</v>
      </c>
      <c r="C34" s="60" t="s">
        <v>6</v>
      </c>
      <c r="D34" s="299" t="s">
        <v>6</v>
      </c>
      <c r="E34" s="128">
        <v>2005</v>
      </c>
      <c r="F34" s="131">
        <v>1998</v>
      </c>
      <c r="G34" s="851">
        <v>2017</v>
      </c>
      <c r="H34" s="299" t="s">
        <v>6</v>
      </c>
      <c r="I34" s="128">
        <v>2002</v>
      </c>
      <c r="J34" s="252">
        <v>2014</v>
      </c>
      <c r="K34" s="252">
        <v>2018</v>
      </c>
      <c r="L34" s="128">
        <v>2005</v>
      </c>
      <c r="M34" s="128">
        <v>2008</v>
      </c>
      <c r="N34" s="130">
        <v>2010</v>
      </c>
      <c r="O34" s="988" t="s">
        <v>6</v>
      </c>
      <c r="P34" s="252">
        <v>2011</v>
      </c>
      <c r="Q34" s="252">
        <v>2012</v>
      </c>
      <c r="R34" s="128">
        <v>2007</v>
      </c>
      <c r="S34" s="130">
        <v>2009</v>
      </c>
      <c r="T34" s="130">
        <v>2018</v>
      </c>
      <c r="U34" s="1128" t="s">
        <v>6</v>
      </c>
      <c r="V34" s="559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s="206" customFormat="1" ht="15" customHeight="1" x14ac:dyDescent="0.2">
      <c r="A35" s="404" t="s">
        <v>12</v>
      </c>
      <c r="B35" s="271"/>
      <c r="C35" s="271"/>
      <c r="D35" s="123"/>
      <c r="E35" s="227"/>
      <c r="F35" s="227"/>
      <c r="G35" s="227"/>
      <c r="H35" s="123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559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1" s="264" customFormat="1" ht="17.25" customHeight="1" x14ac:dyDescent="0.2">
      <c r="A36" s="450" t="s">
        <v>36</v>
      </c>
      <c r="B36" s="451" t="s">
        <v>6</v>
      </c>
      <c r="C36" s="451" t="s">
        <v>6</v>
      </c>
      <c r="D36" s="622" t="s">
        <v>6</v>
      </c>
      <c r="E36" s="452">
        <v>15</v>
      </c>
      <c r="F36" s="453">
        <v>7</v>
      </c>
      <c r="G36" s="852">
        <v>5</v>
      </c>
      <c r="H36" s="622" t="s">
        <v>6</v>
      </c>
      <c r="I36" s="452">
        <v>13</v>
      </c>
      <c r="J36" s="452">
        <v>5</v>
      </c>
      <c r="K36" s="452">
        <v>4</v>
      </c>
      <c r="L36" s="452">
        <v>7</v>
      </c>
      <c r="M36" s="452">
        <v>5</v>
      </c>
      <c r="N36" s="454">
        <v>10</v>
      </c>
      <c r="O36" s="452">
        <v>3</v>
      </c>
      <c r="P36" s="452">
        <v>7</v>
      </c>
      <c r="Q36" s="452">
        <v>6</v>
      </c>
      <c r="R36" s="452">
        <v>4</v>
      </c>
      <c r="S36" s="454">
        <v>7</v>
      </c>
      <c r="T36" s="454">
        <v>4</v>
      </c>
      <c r="U36" s="453">
        <v>3</v>
      </c>
      <c r="V36" s="559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s="210" customFormat="1" ht="17.25" customHeight="1" x14ac:dyDescent="0.2">
      <c r="A37" s="455" t="s">
        <v>33</v>
      </c>
      <c r="B37" s="429" t="s">
        <v>6</v>
      </c>
      <c r="C37" s="429" t="s">
        <v>6</v>
      </c>
      <c r="D37" s="446" t="s">
        <v>6</v>
      </c>
      <c r="E37" s="456">
        <v>23</v>
      </c>
      <c r="F37" s="457">
        <v>12</v>
      </c>
      <c r="G37" s="853">
        <v>12</v>
      </c>
      <c r="H37" s="446" t="s">
        <v>6</v>
      </c>
      <c r="I37" s="456">
        <v>24</v>
      </c>
      <c r="J37" s="456">
        <v>13</v>
      </c>
      <c r="K37" s="456">
        <v>9</v>
      </c>
      <c r="L37" s="456">
        <v>12</v>
      </c>
      <c r="M37" s="456">
        <v>11</v>
      </c>
      <c r="N37" s="458">
        <v>11</v>
      </c>
      <c r="O37" s="456">
        <v>6</v>
      </c>
      <c r="P37" s="456">
        <v>11</v>
      </c>
      <c r="Q37" s="456">
        <v>13</v>
      </c>
      <c r="R37" s="456">
        <v>12</v>
      </c>
      <c r="S37" s="458">
        <v>12</v>
      </c>
      <c r="T37" s="458">
        <v>9</v>
      </c>
      <c r="U37" s="457">
        <v>6</v>
      </c>
      <c r="V37" s="559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s="210" customFormat="1" ht="17.25" customHeight="1" x14ac:dyDescent="0.2">
      <c r="A38" s="455" t="s">
        <v>34</v>
      </c>
      <c r="B38" s="459" t="s">
        <v>6</v>
      </c>
      <c r="C38" s="459" t="s">
        <v>6</v>
      </c>
      <c r="D38" s="448" t="s">
        <v>6</v>
      </c>
      <c r="E38" s="384">
        <v>22</v>
      </c>
      <c r="F38" s="449">
        <v>12</v>
      </c>
      <c r="G38" s="370">
        <v>9</v>
      </c>
      <c r="H38" s="448" t="s">
        <v>6</v>
      </c>
      <c r="I38" s="384">
        <v>22</v>
      </c>
      <c r="J38" s="384">
        <v>13</v>
      </c>
      <c r="K38" s="384">
        <v>6</v>
      </c>
      <c r="L38" s="384">
        <v>12</v>
      </c>
      <c r="M38" s="384">
        <v>11</v>
      </c>
      <c r="N38" s="383">
        <v>11</v>
      </c>
      <c r="O38" s="384">
        <v>6</v>
      </c>
      <c r="P38" s="384">
        <v>11</v>
      </c>
      <c r="Q38" s="384">
        <v>12</v>
      </c>
      <c r="R38" s="368">
        <v>11</v>
      </c>
      <c r="S38" s="383">
        <v>12</v>
      </c>
      <c r="T38" s="383">
        <v>6</v>
      </c>
      <c r="U38" s="449">
        <v>6</v>
      </c>
      <c r="V38" s="559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s="210" customFormat="1" ht="17.25" customHeight="1" thickBot="1" x14ac:dyDescent="0.25">
      <c r="A39" s="460" t="s">
        <v>35</v>
      </c>
      <c r="B39" s="461" t="s">
        <v>6</v>
      </c>
      <c r="C39" s="461" t="s">
        <v>6</v>
      </c>
      <c r="D39" s="446" t="s">
        <v>6</v>
      </c>
      <c r="E39" s="456">
        <v>20</v>
      </c>
      <c r="F39" s="457">
        <v>11</v>
      </c>
      <c r="G39" s="853">
        <v>6</v>
      </c>
      <c r="H39" s="446" t="s">
        <v>6</v>
      </c>
      <c r="I39" s="456">
        <v>20</v>
      </c>
      <c r="J39" s="456">
        <v>12</v>
      </c>
      <c r="K39" s="456">
        <v>6</v>
      </c>
      <c r="L39" s="456">
        <v>12</v>
      </c>
      <c r="M39" s="456">
        <v>11</v>
      </c>
      <c r="N39" s="458">
        <v>10</v>
      </c>
      <c r="O39" s="456">
        <v>6</v>
      </c>
      <c r="P39" s="456">
        <v>10</v>
      </c>
      <c r="Q39" s="456">
        <v>12</v>
      </c>
      <c r="R39" s="456">
        <v>11</v>
      </c>
      <c r="S39" s="458">
        <v>11</v>
      </c>
      <c r="T39" s="308">
        <v>6</v>
      </c>
      <c r="U39" s="1129">
        <v>6</v>
      </c>
      <c r="V39" s="559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x14ac:dyDescent="0.2">
      <c r="A40" s="405"/>
      <c r="B40" s="408"/>
      <c r="C40" s="408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</row>
    <row r="41" spans="1:51" ht="15.75" customHeight="1" x14ac:dyDescent="0.2">
      <c r="A41" s="1" t="s">
        <v>37</v>
      </c>
      <c r="B41" s="2"/>
      <c r="C41" s="2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</row>
    <row r="42" spans="1:51" ht="15.75" customHeight="1" x14ac:dyDescent="0.2">
      <c r="A42" s="1" t="s">
        <v>96</v>
      </c>
      <c r="B42" s="2"/>
      <c r="C42" s="2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</row>
    <row r="43" spans="1:51" ht="15.75" customHeight="1" x14ac:dyDescent="0.2">
      <c r="A43" s="1" t="s">
        <v>75</v>
      </c>
      <c r="B43" s="106"/>
      <c r="C43" s="106"/>
      <c r="D43" s="110"/>
      <c r="E43" s="110"/>
      <c r="F43" s="110"/>
      <c r="G43" s="110"/>
      <c r="H43" s="110"/>
      <c r="I43" s="110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51" ht="15.75" customHeight="1" x14ac:dyDescent="0.2">
      <c r="A44" s="11" t="s">
        <v>313</v>
      </c>
      <c r="D44" s="115"/>
      <c r="H44" s="115"/>
    </row>
    <row r="45" spans="1:51" ht="13.9" customHeight="1" x14ac:dyDescent="0.2">
      <c r="A45" s="169" t="s">
        <v>143</v>
      </c>
      <c r="B45" s="114"/>
      <c r="C45" s="114"/>
    </row>
    <row r="46" spans="1:51" x14ac:dyDescent="0.2">
      <c r="A46" s="13"/>
      <c r="B46" s="391"/>
      <c r="C46" s="114"/>
    </row>
    <row r="47" spans="1:51" x14ac:dyDescent="0.2">
      <c r="B47" s="114"/>
      <c r="C47" s="114"/>
    </row>
    <row r="48" spans="1:51" x14ac:dyDescent="0.2">
      <c r="B48" s="115"/>
      <c r="C48" s="115"/>
    </row>
    <row r="49" spans="2:7" x14ac:dyDescent="0.2">
      <c r="B49" s="115"/>
      <c r="C49" s="115"/>
      <c r="E49" s="36"/>
      <c r="F49" s="36"/>
      <c r="G49" s="36"/>
    </row>
    <row r="50" spans="2:7" x14ac:dyDescent="0.2">
      <c r="E50" s="36"/>
      <c r="F50" s="36"/>
      <c r="G50" s="36"/>
    </row>
    <row r="51" spans="2:7" x14ac:dyDescent="0.2">
      <c r="E51" s="36"/>
      <c r="F51" s="36"/>
      <c r="G51" s="36"/>
    </row>
    <row r="52" spans="2:7" x14ac:dyDescent="0.2">
      <c r="E52" s="116"/>
      <c r="F52" s="116"/>
      <c r="G52" s="116"/>
    </row>
  </sheetData>
  <mergeCells count="1">
    <mergeCell ref="E3:G3"/>
  </mergeCells>
  <phoneticPr fontId="5" type="noConversion"/>
  <printOptions horizontalCentered="1" verticalCentered="1"/>
  <pageMargins left="0.39370078740157483" right="0.39370078740157483" top="0.39370078740157483" bottom="0.39370078740157483" header="0.39370078740157483" footer="0"/>
  <pageSetup paperSize="8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I249"/>
  <sheetViews>
    <sheetView zoomScale="96" zoomScaleNormal="96" workbookViewId="0">
      <selection activeCell="O26" sqref="O26"/>
    </sheetView>
  </sheetViews>
  <sheetFormatPr defaultColWidth="9.140625" defaultRowHeight="12.75" x14ac:dyDescent="0.2"/>
  <cols>
    <col min="1" max="1" width="47" style="6" customWidth="1"/>
    <col min="2" max="2" width="9.42578125" style="110" customWidth="1"/>
    <col min="3" max="10" width="8.7109375" style="110" customWidth="1"/>
    <col min="11" max="11" width="8.7109375" style="119" customWidth="1"/>
    <col min="12" max="12" width="1.140625" style="6" customWidth="1"/>
    <col min="13" max="16384" width="9.140625" style="6"/>
  </cols>
  <sheetData>
    <row r="1" spans="1:61" ht="15" x14ac:dyDescent="0.25">
      <c r="A1" s="48" t="s">
        <v>197</v>
      </c>
      <c r="B1" s="112"/>
      <c r="C1" s="4"/>
      <c r="D1" s="3"/>
      <c r="E1" s="4"/>
      <c r="F1" s="3"/>
      <c r="G1" s="3"/>
      <c r="H1" s="3"/>
      <c r="I1" s="3"/>
      <c r="J1" s="3"/>
      <c r="K1" s="4"/>
      <c r="L1" s="3"/>
    </row>
    <row r="2" spans="1:61" s="62" customFormat="1" ht="9" customHeight="1" thickBot="1" x14ac:dyDescent="0.3"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61" ht="88.15" customHeight="1" x14ac:dyDescent="0.2">
      <c r="A3" s="57"/>
      <c r="B3" s="59" t="s">
        <v>176</v>
      </c>
      <c r="C3" s="21" t="s">
        <v>60</v>
      </c>
      <c r="D3" s="995" t="s">
        <v>59</v>
      </c>
      <c r="E3" s="875" t="s">
        <v>61</v>
      </c>
      <c r="F3" s="875" t="s">
        <v>63</v>
      </c>
      <c r="G3" s="875" t="s">
        <v>62</v>
      </c>
      <c r="H3" s="876" t="s">
        <v>64</v>
      </c>
      <c r="I3" s="876" t="s">
        <v>65</v>
      </c>
      <c r="J3" s="875" t="s">
        <v>274</v>
      </c>
      <c r="K3" s="1103" t="s">
        <v>66</v>
      </c>
    </row>
    <row r="4" spans="1:61" ht="27" customHeight="1" x14ac:dyDescent="0.2">
      <c r="A4" s="50" t="s">
        <v>31</v>
      </c>
      <c r="B4" s="61" t="s">
        <v>6</v>
      </c>
      <c r="C4" s="24" t="s">
        <v>2</v>
      </c>
      <c r="D4" s="996" t="s">
        <v>2</v>
      </c>
      <c r="E4" s="790" t="s">
        <v>2</v>
      </c>
      <c r="F4" s="790" t="s">
        <v>5</v>
      </c>
      <c r="G4" s="790" t="s">
        <v>2</v>
      </c>
      <c r="H4" s="790" t="s">
        <v>2</v>
      </c>
      <c r="I4" s="790" t="s">
        <v>5</v>
      </c>
      <c r="J4" s="790" t="s">
        <v>3</v>
      </c>
      <c r="K4" s="1104" t="s">
        <v>5</v>
      </c>
    </row>
    <row r="5" spans="1:61" x14ac:dyDescent="0.2">
      <c r="A5" s="58" t="s">
        <v>13</v>
      </c>
      <c r="B5" s="32" t="s">
        <v>6</v>
      </c>
      <c r="C5" s="25">
        <v>39240.950000000004</v>
      </c>
      <c r="D5" s="997">
        <v>39241.100000000006</v>
      </c>
      <c r="E5" s="997">
        <v>39241.710000000006</v>
      </c>
      <c r="F5" s="880">
        <v>39241.860000000008</v>
      </c>
      <c r="G5" s="880">
        <v>39242.670000000006</v>
      </c>
      <c r="H5" s="880">
        <v>39243.530000000006</v>
      </c>
      <c r="I5" s="880">
        <v>39244.19000000001</v>
      </c>
      <c r="J5" s="880">
        <v>43629</v>
      </c>
      <c r="K5" s="1105">
        <v>39249.93</v>
      </c>
    </row>
    <row r="6" spans="1:61" s="27" customFormat="1" ht="15" customHeight="1" x14ac:dyDescent="0.2">
      <c r="A6" s="490" t="s">
        <v>71</v>
      </c>
      <c r="B6" s="491"/>
      <c r="C6" s="990"/>
      <c r="D6" s="492"/>
      <c r="E6" s="492"/>
      <c r="F6" s="624"/>
      <c r="G6" s="624"/>
      <c r="H6" s="624"/>
      <c r="I6" s="624"/>
      <c r="J6" s="624"/>
      <c r="K6" s="1106"/>
      <c r="N6" s="6"/>
    </row>
    <row r="7" spans="1:61" s="27" customFormat="1" ht="15" customHeight="1" x14ac:dyDescent="0.2">
      <c r="A7" s="802" t="s">
        <v>300</v>
      </c>
      <c r="B7" s="495">
        <v>100</v>
      </c>
      <c r="C7" s="496">
        <v>101</v>
      </c>
      <c r="D7" s="497">
        <v>102</v>
      </c>
      <c r="E7" s="496">
        <v>101</v>
      </c>
      <c r="F7" s="496">
        <v>95</v>
      </c>
      <c r="G7" s="496">
        <v>101</v>
      </c>
      <c r="H7" s="496">
        <v>95</v>
      </c>
      <c r="I7" s="496">
        <v>101</v>
      </c>
      <c r="J7" s="496">
        <v>101</v>
      </c>
      <c r="K7" s="1107">
        <v>95</v>
      </c>
      <c r="N7" s="6"/>
      <c r="U7" s="477"/>
      <c r="AA7" s="195"/>
    </row>
    <row r="8" spans="1:61" s="27" customFormat="1" ht="15" customHeight="1" x14ac:dyDescent="0.2">
      <c r="A8" s="885" t="s">
        <v>370</v>
      </c>
      <c r="B8" s="499">
        <f>65+7.8</f>
        <v>72.8</v>
      </c>
      <c r="C8" s="500">
        <f>65+8.5</f>
        <v>73.5</v>
      </c>
      <c r="D8" s="502">
        <f>65+7</f>
        <v>72</v>
      </c>
      <c r="E8" s="500">
        <f>65+7</f>
        <v>72</v>
      </c>
      <c r="F8" s="500">
        <f>65+8.7</f>
        <v>73.7</v>
      </c>
      <c r="G8" s="500">
        <f>65+7.40000000000001</f>
        <v>72.400000000000006</v>
      </c>
      <c r="H8" s="500">
        <f>65+9.2</f>
        <v>74.2</v>
      </c>
      <c r="I8" s="500">
        <f>65+8.5</f>
        <v>73.5</v>
      </c>
      <c r="J8" s="500">
        <f>65+9.7</f>
        <v>74.7</v>
      </c>
      <c r="K8" s="1108">
        <f>65+7.8</f>
        <v>72.8</v>
      </c>
      <c r="N8" s="6"/>
    </row>
    <row r="9" spans="1:61" s="27" customFormat="1" ht="15" customHeight="1" x14ac:dyDescent="0.2">
      <c r="A9" s="805" t="s">
        <v>301</v>
      </c>
      <c r="B9" s="356">
        <v>100</v>
      </c>
      <c r="C9" s="232">
        <v>102</v>
      </c>
      <c r="D9" s="233">
        <v>101</v>
      </c>
      <c r="E9" s="232">
        <v>100</v>
      </c>
      <c r="F9" s="232">
        <v>96</v>
      </c>
      <c r="G9" s="232">
        <v>101</v>
      </c>
      <c r="H9" s="232">
        <v>97</v>
      </c>
      <c r="I9" s="232">
        <v>102</v>
      </c>
      <c r="J9" s="232">
        <v>104</v>
      </c>
      <c r="K9" s="698">
        <v>95</v>
      </c>
      <c r="L9" s="432"/>
      <c r="N9" s="6"/>
      <c r="R9" s="998"/>
      <c r="S9" s="998"/>
      <c r="T9" s="998"/>
      <c r="U9" s="998"/>
      <c r="V9" s="998"/>
      <c r="W9" s="998"/>
      <c r="X9" s="998"/>
      <c r="Y9" s="999"/>
      <c r="Z9" s="998"/>
      <c r="AA9" s="1000"/>
    </row>
    <row r="10" spans="1:61" s="633" customFormat="1" ht="15" customHeight="1" x14ac:dyDescent="0.2">
      <c r="A10" s="254" t="s">
        <v>15</v>
      </c>
      <c r="B10" s="631"/>
      <c r="C10" s="991"/>
      <c r="D10" s="724"/>
      <c r="E10" s="724"/>
      <c r="F10" s="724"/>
      <c r="G10" s="724"/>
      <c r="H10" s="724"/>
      <c r="I10" s="724"/>
      <c r="J10" s="724"/>
      <c r="K10" s="1109"/>
      <c r="L10" s="632"/>
      <c r="M10" s="27"/>
      <c r="N10" s="632"/>
      <c r="O10" s="632"/>
      <c r="P10" s="632"/>
      <c r="Q10" s="632"/>
      <c r="R10" s="632"/>
      <c r="S10" s="632"/>
      <c r="T10" s="27"/>
      <c r="U10" s="27"/>
      <c r="V10" s="477"/>
      <c r="W10" s="27"/>
      <c r="X10" s="27"/>
      <c r="Y10" s="27"/>
      <c r="Z10" s="636"/>
      <c r="AA10" s="27"/>
      <c r="AB10" s="195"/>
      <c r="AC10" s="27"/>
      <c r="AD10" s="632"/>
      <c r="AE10" s="632"/>
      <c r="AF10" s="632"/>
      <c r="AG10" s="632"/>
      <c r="AH10" s="632"/>
      <c r="AI10" s="632"/>
      <c r="AJ10" s="632"/>
      <c r="AK10" s="632"/>
      <c r="AL10" s="632"/>
      <c r="AM10" s="632"/>
      <c r="AN10" s="632"/>
      <c r="AO10" s="632"/>
      <c r="AP10" s="632"/>
      <c r="AQ10" s="632"/>
      <c r="AR10" s="632"/>
      <c r="AS10" s="632"/>
      <c r="AT10" s="632"/>
      <c r="AU10" s="632"/>
      <c r="AV10" s="632"/>
      <c r="AW10" s="632"/>
      <c r="AX10" s="632"/>
      <c r="AY10" s="632"/>
      <c r="AZ10" s="632"/>
      <c r="BA10" s="632"/>
      <c r="BB10" s="632"/>
      <c r="BC10" s="632"/>
      <c r="BD10" s="632"/>
      <c r="BE10" s="632"/>
      <c r="BF10" s="632"/>
      <c r="BG10" s="632"/>
      <c r="BH10" s="632"/>
      <c r="BI10" s="632"/>
    </row>
    <row r="11" spans="1:61" s="27" customFormat="1" ht="15" customHeight="1" x14ac:dyDescent="0.2">
      <c r="A11" s="802" t="s">
        <v>295</v>
      </c>
      <c r="B11" s="495">
        <v>100</v>
      </c>
      <c r="C11" s="496">
        <v>109</v>
      </c>
      <c r="D11" s="497">
        <v>105</v>
      </c>
      <c r="E11" s="496">
        <v>103</v>
      </c>
      <c r="F11" s="496">
        <v>80</v>
      </c>
      <c r="G11" s="496">
        <v>100</v>
      </c>
      <c r="H11" s="496">
        <v>82</v>
      </c>
      <c r="I11" s="496">
        <v>87</v>
      </c>
      <c r="J11" s="883" t="s">
        <v>294</v>
      </c>
      <c r="K11" s="1107">
        <v>87</v>
      </c>
    </row>
    <row r="12" spans="1:61" s="211" customFormat="1" ht="15" customHeight="1" x14ac:dyDescent="0.2">
      <c r="A12" s="803" t="s">
        <v>296</v>
      </c>
      <c r="B12" s="513">
        <v>100</v>
      </c>
      <c r="C12" s="701">
        <v>105</v>
      </c>
      <c r="D12" s="514">
        <v>104</v>
      </c>
      <c r="E12" s="701">
        <v>105</v>
      </c>
      <c r="F12" s="701">
        <v>88</v>
      </c>
      <c r="G12" s="701">
        <v>97</v>
      </c>
      <c r="H12" s="701">
        <v>89</v>
      </c>
      <c r="I12" s="701">
        <v>95</v>
      </c>
      <c r="J12" s="701">
        <v>106</v>
      </c>
      <c r="K12" s="1110">
        <v>87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</row>
    <row r="13" spans="1:61" s="211" customFormat="1" ht="15" customHeight="1" x14ac:dyDescent="0.2">
      <c r="A13" s="803" t="s">
        <v>297</v>
      </c>
      <c r="B13" s="513">
        <v>100</v>
      </c>
      <c r="C13" s="701">
        <v>100</v>
      </c>
      <c r="D13" s="514">
        <v>100</v>
      </c>
      <c r="E13" s="701">
        <v>99</v>
      </c>
      <c r="F13" s="701">
        <v>99</v>
      </c>
      <c r="G13" s="701">
        <v>103</v>
      </c>
      <c r="H13" s="701">
        <v>98</v>
      </c>
      <c r="I13" s="701">
        <v>99</v>
      </c>
      <c r="J13" s="701">
        <v>98</v>
      </c>
      <c r="K13" s="1110">
        <v>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</row>
    <row r="14" spans="1:61" s="211" customFormat="1" ht="15" customHeight="1" x14ac:dyDescent="0.2">
      <c r="A14" s="803" t="s">
        <v>298</v>
      </c>
      <c r="B14" s="513">
        <v>100</v>
      </c>
      <c r="C14" s="701">
        <v>100</v>
      </c>
      <c r="D14" s="514">
        <v>103</v>
      </c>
      <c r="E14" s="801">
        <v>100</v>
      </c>
      <c r="F14" s="701">
        <v>96</v>
      </c>
      <c r="G14" s="701">
        <v>102</v>
      </c>
      <c r="H14" s="701">
        <v>96</v>
      </c>
      <c r="I14" s="704">
        <v>103</v>
      </c>
      <c r="J14" s="701">
        <v>99</v>
      </c>
      <c r="K14" s="1110">
        <v>96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</row>
    <row r="15" spans="1:61" s="211" customFormat="1" ht="15" customHeight="1" x14ac:dyDescent="0.2">
      <c r="A15" s="804" t="s">
        <v>299</v>
      </c>
      <c r="B15" s="516">
        <v>100</v>
      </c>
      <c r="C15" s="704">
        <v>98</v>
      </c>
      <c r="D15" s="517">
        <v>104</v>
      </c>
      <c r="E15" s="704">
        <v>105</v>
      </c>
      <c r="F15" s="704">
        <v>90</v>
      </c>
      <c r="G15" s="704">
        <v>99</v>
      </c>
      <c r="H15" s="704">
        <v>95</v>
      </c>
      <c r="I15" s="704">
        <v>110</v>
      </c>
      <c r="J15" s="704">
        <v>109</v>
      </c>
      <c r="K15" s="1111">
        <v>94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</row>
    <row r="16" spans="1:61" s="27" customFormat="1" ht="15" customHeight="1" x14ac:dyDescent="0.2">
      <c r="A16" s="490" t="s">
        <v>17</v>
      </c>
      <c r="B16" s="491"/>
      <c r="C16" s="990"/>
      <c r="D16" s="492"/>
      <c r="E16" s="492"/>
      <c r="F16" s="492"/>
      <c r="G16" s="492"/>
      <c r="H16" s="492"/>
      <c r="I16" s="492"/>
      <c r="J16" s="492"/>
      <c r="K16" s="1112"/>
    </row>
    <row r="17" spans="1:61" s="27" customFormat="1" ht="15" customHeight="1" x14ac:dyDescent="0.2">
      <c r="A17" s="803" t="s">
        <v>306</v>
      </c>
      <c r="B17" s="513">
        <v>100</v>
      </c>
      <c r="C17" s="701">
        <v>100</v>
      </c>
      <c r="D17" s="514">
        <v>101</v>
      </c>
      <c r="E17" s="701">
        <v>102</v>
      </c>
      <c r="F17" s="701">
        <v>95</v>
      </c>
      <c r="G17" s="701">
        <v>98</v>
      </c>
      <c r="H17" s="701">
        <v>99</v>
      </c>
      <c r="I17" s="701">
        <v>97</v>
      </c>
      <c r="J17" s="701">
        <v>97</v>
      </c>
      <c r="K17" s="1110">
        <v>96</v>
      </c>
    </row>
    <row r="18" spans="1:61" s="27" customFormat="1" ht="15" customHeight="1" x14ac:dyDescent="0.2">
      <c r="A18" s="805" t="s">
        <v>307</v>
      </c>
      <c r="B18" s="356">
        <v>100</v>
      </c>
      <c r="C18" s="232">
        <v>100</v>
      </c>
      <c r="D18" s="233">
        <v>101</v>
      </c>
      <c r="E18" s="232">
        <v>101</v>
      </c>
      <c r="F18" s="232">
        <v>98</v>
      </c>
      <c r="G18" s="232">
        <v>97</v>
      </c>
      <c r="H18" s="232">
        <v>101</v>
      </c>
      <c r="I18" s="232">
        <v>98</v>
      </c>
      <c r="J18" s="232">
        <v>103</v>
      </c>
      <c r="K18" s="698">
        <v>99</v>
      </c>
    </row>
    <row r="19" spans="1:61" s="27" customFormat="1" ht="15" customHeight="1" x14ac:dyDescent="0.2">
      <c r="A19" s="803" t="s">
        <v>310</v>
      </c>
      <c r="B19" s="513">
        <v>100</v>
      </c>
      <c r="C19" s="701">
        <v>100</v>
      </c>
      <c r="D19" s="514">
        <v>103</v>
      </c>
      <c r="E19" s="701">
        <v>102</v>
      </c>
      <c r="F19" s="701">
        <v>95</v>
      </c>
      <c r="G19" s="701">
        <v>97</v>
      </c>
      <c r="H19" s="701">
        <v>97</v>
      </c>
      <c r="I19" s="701">
        <v>97</v>
      </c>
      <c r="J19" s="701">
        <v>102</v>
      </c>
      <c r="K19" s="1110">
        <v>97</v>
      </c>
      <c r="P19" s="378"/>
    </row>
    <row r="20" spans="1:61" s="27" customFormat="1" ht="15" customHeight="1" x14ac:dyDescent="0.2">
      <c r="A20" s="836" t="s">
        <v>308</v>
      </c>
      <c r="B20" s="590">
        <v>100</v>
      </c>
      <c r="C20" s="232">
        <v>100</v>
      </c>
      <c r="D20" s="233">
        <v>101.93333333333334</v>
      </c>
      <c r="E20" s="232">
        <v>102</v>
      </c>
      <c r="F20" s="232">
        <v>95</v>
      </c>
      <c r="G20" s="232">
        <v>97.5</v>
      </c>
      <c r="H20" s="232">
        <v>98.047619047619051</v>
      </c>
      <c r="I20" s="232">
        <v>97</v>
      </c>
      <c r="J20" s="232">
        <v>99.5</v>
      </c>
      <c r="K20" s="698">
        <v>96.46875</v>
      </c>
      <c r="S20" s="477"/>
      <c r="W20" s="636"/>
      <c r="Y20" s="195"/>
    </row>
    <row r="21" spans="1:61" s="637" customFormat="1" ht="15" customHeight="1" x14ac:dyDescent="0.2">
      <c r="A21" s="634" t="s">
        <v>30</v>
      </c>
      <c r="B21" s="635"/>
      <c r="C21" s="1007"/>
      <c r="D21" s="1008"/>
      <c r="E21" s="1008"/>
      <c r="F21" s="1008"/>
      <c r="G21" s="1008"/>
      <c r="H21" s="1008"/>
      <c r="I21" s="1008"/>
      <c r="J21" s="1008"/>
      <c r="K21" s="1009"/>
      <c r="L21" s="636"/>
      <c r="M21" s="27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636"/>
      <c r="AO21" s="636"/>
      <c r="AP21" s="636"/>
      <c r="AQ21" s="636"/>
      <c r="AR21" s="636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6"/>
      <c r="BF21" s="636"/>
      <c r="BG21" s="636"/>
      <c r="BH21" s="636"/>
      <c r="BI21" s="636"/>
    </row>
    <row r="22" spans="1:61" s="211" customFormat="1" ht="15" customHeight="1" x14ac:dyDescent="0.2">
      <c r="A22" s="802" t="s">
        <v>302</v>
      </c>
      <c r="B22" s="495">
        <v>100</v>
      </c>
      <c r="C22" s="496">
        <v>102</v>
      </c>
      <c r="D22" s="497">
        <v>103</v>
      </c>
      <c r="E22" s="496">
        <v>100</v>
      </c>
      <c r="F22" s="496">
        <v>93</v>
      </c>
      <c r="G22" s="496">
        <v>96</v>
      </c>
      <c r="H22" s="496">
        <v>99</v>
      </c>
      <c r="I22" s="496">
        <v>95</v>
      </c>
      <c r="J22" s="496">
        <v>97</v>
      </c>
      <c r="K22" s="1107">
        <v>93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</row>
    <row r="23" spans="1:61" s="211" customFormat="1" ht="15" customHeight="1" x14ac:dyDescent="0.2">
      <c r="A23" s="885" t="s">
        <v>369</v>
      </c>
      <c r="B23" s="499">
        <f>65+1.1</f>
        <v>66.099999999999994</v>
      </c>
      <c r="C23" s="500">
        <f>65+0.299999999999997</f>
        <v>65.3</v>
      </c>
      <c r="D23" s="502">
        <f>65+0.200000000000003</f>
        <v>65.2</v>
      </c>
      <c r="E23" s="500">
        <f>65+1.09999999999999</f>
        <v>66.099999999999994</v>
      </c>
      <c r="F23" s="500">
        <f>65+3.09999999999999</f>
        <v>68.099999999999994</v>
      </c>
      <c r="G23" s="500">
        <f>65+1.09999999999999</f>
        <v>66.099999999999994</v>
      </c>
      <c r="H23" s="500">
        <f>65+3</f>
        <v>68</v>
      </c>
      <c r="I23" s="500">
        <f>65+2.3</f>
        <v>67.3</v>
      </c>
      <c r="J23" s="500">
        <f>65+5</f>
        <v>70</v>
      </c>
      <c r="K23" s="1108">
        <f>65+3.7</f>
        <v>68.7</v>
      </c>
      <c r="L23" s="432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</row>
    <row r="24" spans="1:61" s="211" customFormat="1" ht="15" customHeight="1" x14ac:dyDescent="0.2">
      <c r="A24" s="803" t="s">
        <v>303</v>
      </c>
      <c r="B24" s="513">
        <v>100</v>
      </c>
      <c r="C24" s="701">
        <v>99</v>
      </c>
      <c r="D24" s="514">
        <v>101</v>
      </c>
      <c r="E24" s="701">
        <v>103</v>
      </c>
      <c r="F24" s="701">
        <v>101</v>
      </c>
      <c r="G24" s="701">
        <v>99</v>
      </c>
      <c r="H24" s="701">
        <v>98</v>
      </c>
      <c r="I24" s="701">
        <v>97</v>
      </c>
      <c r="J24" s="701">
        <v>99</v>
      </c>
      <c r="K24" s="1110">
        <v>105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</row>
    <row r="25" spans="1:61" s="27" customFormat="1" ht="15" customHeight="1" x14ac:dyDescent="0.2">
      <c r="A25" s="915" t="s">
        <v>368</v>
      </c>
      <c r="B25" s="499">
        <f>65+-0.4</f>
        <v>64.599999999999994</v>
      </c>
      <c r="C25" s="500">
        <f>65+0.299999999999997</f>
        <v>65.3</v>
      </c>
      <c r="D25" s="502">
        <f>65+-1</f>
        <v>64</v>
      </c>
      <c r="E25" s="500">
        <f>65+-1.2</f>
        <v>63.8</v>
      </c>
      <c r="F25" s="500">
        <f>65+-0.200000000000003</f>
        <v>64.8</v>
      </c>
      <c r="G25" s="500">
        <f>65+-0.299999999999997</f>
        <v>64.7</v>
      </c>
      <c r="H25" s="500">
        <f>65+0.400000000000006</f>
        <v>65.400000000000006</v>
      </c>
      <c r="I25" s="500">
        <f>65+0.599999999999994</f>
        <v>65.599999999999994</v>
      </c>
      <c r="J25" s="500">
        <f>65+2</f>
        <v>67</v>
      </c>
      <c r="K25" s="1108">
        <f>65+-0.5</f>
        <v>64.5</v>
      </c>
      <c r="L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</row>
    <row r="26" spans="1:61" s="211" customFormat="1" ht="15" customHeight="1" x14ac:dyDescent="0.2">
      <c r="A26" s="803" t="s">
        <v>304</v>
      </c>
      <c r="B26" s="513">
        <v>100</v>
      </c>
      <c r="C26" s="701">
        <v>100</v>
      </c>
      <c r="D26" s="514">
        <v>99</v>
      </c>
      <c r="E26" s="701">
        <v>104</v>
      </c>
      <c r="F26" s="701">
        <v>95</v>
      </c>
      <c r="G26" s="701">
        <v>97</v>
      </c>
      <c r="H26" s="701">
        <v>99</v>
      </c>
      <c r="I26" s="701">
        <v>99</v>
      </c>
      <c r="J26" s="701">
        <v>86</v>
      </c>
      <c r="K26" s="1110">
        <v>92</v>
      </c>
      <c r="L26" s="27"/>
      <c r="M26" s="27"/>
      <c r="N26" s="27"/>
      <c r="O26" s="27"/>
      <c r="P26" s="27"/>
      <c r="Q26" s="27"/>
      <c r="R26" s="27"/>
      <c r="S26" s="378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61" s="211" customFormat="1" ht="15" customHeight="1" x14ac:dyDescent="0.2">
      <c r="A27" s="806" t="s">
        <v>305</v>
      </c>
      <c r="B27" s="590">
        <v>100</v>
      </c>
      <c r="C27" s="701">
        <v>98</v>
      </c>
      <c r="D27" s="514">
        <v>99</v>
      </c>
      <c r="E27" s="701">
        <v>100</v>
      </c>
      <c r="F27" s="701">
        <v>93</v>
      </c>
      <c r="G27" s="701">
        <v>101</v>
      </c>
      <c r="H27" s="701">
        <v>102</v>
      </c>
      <c r="I27" s="701">
        <v>102</v>
      </c>
      <c r="J27" s="701">
        <v>106</v>
      </c>
      <c r="K27" s="1110">
        <v>98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</row>
    <row r="28" spans="1:61" s="27" customFormat="1" ht="15" customHeight="1" x14ac:dyDescent="0.2">
      <c r="A28" s="533" t="s">
        <v>18</v>
      </c>
      <c r="B28" s="535"/>
      <c r="C28" s="992"/>
      <c r="D28" s="536"/>
      <c r="E28" s="536"/>
      <c r="F28" s="536"/>
      <c r="G28" s="536"/>
      <c r="H28" s="536"/>
      <c r="I28" s="536"/>
      <c r="J28" s="536"/>
      <c r="K28" s="1113"/>
    </row>
    <row r="29" spans="1:61" s="27" customFormat="1" ht="15" customHeight="1" x14ac:dyDescent="0.2">
      <c r="A29" s="348" t="s">
        <v>129</v>
      </c>
      <c r="B29" s="516">
        <v>63.3</v>
      </c>
      <c r="C29" s="704">
        <v>63.2</v>
      </c>
      <c r="D29" s="517">
        <v>63</v>
      </c>
      <c r="E29" s="704">
        <v>57.5</v>
      </c>
      <c r="F29" s="704">
        <v>68.2</v>
      </c>
      <c r="G29" s="704">
        <v>66.599999999999994</v>
      </c>
      <c r="H29" s="704">
        <v>66.2</v>
      </c>
      <c r="I29" s="704">
        <v>54</v>
      </c>
      <c r="J29" s="704">
        <v>68.2</v>
      </c>
      <c r="K29" s="1111">
        <v>69.8</v>
      </c>
      <c r="V29" s="636"/>
      <c r="Z29" s="477"/>
    </row>
    <row r="30" spans="1:61" s="211" customFormat="1" ht="15" customHeight="1" x14ac:dyDescent="0.2">
      <c r="A30" s="348" t="s">
        <v>27</v>
      </c>
      <c r="B30" s="513">
        <v>59.8</v>
      </c>
      <c r="C30" s="701">
        <v>60.2</v>
      </c>
      <c r="D30" s="716">
        <v>58.4</v>
      </c>
      <c r="E30" s="708">
        <v>56.2</v>
      </c>
      <c r="F30" s="708">
        <v>62.6</v>
      </c>
      <c r="G30" s="708">
        <v>61.6</v>
      </c>
      <c r="H30" s="708">
        <v>62.7</v>
      </c>
      <c r="I30" s="708">
        <v>50.7</v>
      </c>
      <c r="J30" s="708">
        <v>62.1</v>
      </c>
      <c r="K30" s="1114">
        <v>66.3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61" s="195" customFormat="1" ht="15" customHeight="1" x14ac:dyDescent="0.2">
      <c r="A31" s="436" t="s">
        <v>130</v>
      </c>
      <c r="B31" s="537">
        <v>4.9213933467551936</v>
      </c>
      <c r="C31" s="710">
        <v>4.9296100000000012</v>
      </c>
      <c r="D31" s="538">
        <v>4.8345027586206895</v>
      </c>
      <c r="E31" s="710">
        <v>4.431802380952381</v>
      </c>
      <c r="F31" s="710">
        <v>5.3381145454545456</v>
      </c>
      <c r="G31" s="710">
        <v>5.1887582608695659</v>
      </c>
      <c r="H31" s="710">
        <v>5.222293333333333</v>
      </c>
      <c r="I31" s="710">
        <v>3.9718714285714292</v>
      </c>
      <c r="J31" s="710">
        <v>5.2859950000000007</v>
      </c>
      <c r="K31" s="1115">
        <v>5.591396451612904</v>
      </c>
      <c r="M31" s="27"/>
    </row>
    <row r="32" spans="1:61" s="27" customFormat="1" ht="15" customHeight="1" x14ac:dyDescent="0.2">
      <c r="A32" s="349" t="s">
        <v>7</v>
      </c>
      <c r="B32" s="518">
        <v>7.1</v>
      </c>
      <c r="C32" s="718">
        <v>7.2</v>
      </c>
      <c r="D32" s="725">
        <v>7.2</v>
      </c>
      <c r="E32" s="718">
        <v>7.2</v>
      </c>
      <c r="F32" s="718">
        <v>6.9</v>
      </c>
      <c r="G32" s="718">
        <v>7</v>
      </c>
      <c r="H32" s="718">
        <v>6.7</v>
      </c>
      <c r="I32" s="718">
        <v>6.6</v>
      </c>
      <c r="J32" s="1006" t="s">
        <v>6</v>
      </c>
      <c r="K32" s="1116">
        <v>6.8</v>
      </c>
      <c r="R32" s="378"/>
    </row>
    <row r="33" spans="1:61" s="27" customFormat="1" ht="8.25" customHeight="1" x14ac:dyDescent="0.2">
      <c r="A33" s="243"/>
      <c r="B33" s="284"/>
      <c r="C33" s="993"/>
      <c r="D33" s="285"/>
      <c r="E33" s="285"/>
      <c r="F33" s="285"/>
      <c r="G33" s="285"/>
      <c r="H33" s="285"/>
      <c r="I33" s="285"/>
      <c r="J33" s="285"/>
      <c r="K33" s="1117"/>
      <c r="Q33" s="378"/>
    </row>
    <row r="34" spans="1:61" s="27" customFormat="1" ht="15" customHeight="1" x14ac:dyDescent="0.2">
      <c r="A34" s="312" t="s">
        <v>11</v>
      </c>
      <c r="B34" s="245" t="s">
        <v>6</v>
      </c>
      <c r="C34" s="74">
        <v>2005</v>
      </c>
      <c r="D34" s="75">
        <v>2001</v>
      </c>
      <c r="E34" s="74">
        <v>2003</v>
      </c>
      <c r="F34" s="74">
        <v>1990</v>
      </c>
      <c r="G34" s="74">
        <v>1989</v>
      </c>
      <c r="H34" s="74">
        <v>2003</v>
      </c>
      <c r="I34" s="74">
        <v>2005</v>
      </c>
      <c r="J34" s="791" t="s">
        <v>6</v>
      </c>
      <c r="K34" s="1118">
        <v>1974</v>
      </c>
    </row>
    <row r="35" spans="1:61" s="641" customFormat="1" ht="15" customHeight="1" x14ac:dyDescent="0.2">
      <c r="A35" s="286" t="s">
        <v>12</v>
      </c>
      <c r="B35" s="639"/>
      <c r="C35" s="994"/>
      <c r="D35" s="640"/>
      <c r="E35" s="640"/>
      <c r="F35" s="640"/>
      <c r="G35" s="640"/>
      <c r="H35" s="640"/>
      <c r="I35" s="640"/>
      <c r="J35" s="640"/>
      <c r="K35" s="1119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2"/>
      <c r="Z35" s="632"/>
      <c r="AA35" s="632"/>
      <c r="AB35" s="632"/>
      <c r="AC35" s="632"/>
      <c r="AD35" s="632"/>
      <c r="AE35" s="632"/>
      <c r="AF35" s="632"/>
      <c r="AG35" s="632"/>
      <c r="AH35" s="632"/>
      <c r="AI35" s="632"/>
      <c r="AJ35" s="632"/>
      <c r="AK35" s="632"/>
      <c r="AL35" s="632"/>
      <c r="AM35" s="632"/>
      <c r="AN35" s="632"/>
      <c r="AO35" s="632"/>
      <c r="AP35" s="632"/>
      <c r="AQ35" s="632"/>
      <c r="AR35" s="632"/>
      <c r="AS35" s="632"/>
      <c r="AT35" s="632"/>
      <c r="AU35" s="632"/>
      <c r="AV35" s="632"/>
      <c r="AW35" s="632"/>
      <c r="AX35" s="632"/>
      <c r="AY35" s="632"/>
      <c r="AZ35" s="632"/>
      <c r="BA35" s="632"/>
      <c r="BB35" s="632"/>
      <c r="BC35" s="632"/>
      <c r="BD35" s="632"/>
      <c r="BE35" s="632"/>
      <c r="BF35" s="632"/>
      <c r="BG35" s="632"/>
      <c r="BH35" s="632"/>
      <c r="BI35" s="632"/>
    </row>
    <row r="36" spans="1:61" s="211" customFormat="1" ht="15" customHeight="1" x14ac:dyDescent="0.2">
      <c r="A36" s="543" t="s">
        <v>33</v>
      </c>
      <c r="B36" s="568" t="s">
        <v>6</v>
      </c>
      <c r="C36" s="571">
        <v>12</v>
      </c>
      <c r="D36" s="989">
        <v>16</v>
      </c>
      <c r="E36" s="570">
        <v>11</v>
      </c>
      <c r="F36" s="570">
        <v>12</v>
      </c>
      <c r="G36" s="570">
        <v>11</v>
      </c>
      <c r="H36" s="570">
        <v>11</v>
      </c>
      <c r="I36" s="570">
        <v>11</v>
      </c>
      <c r="J36" s="570">
        <v>6</v>
      </c>
      <c r="K36" s="1120">
        <v>17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</row>
    <row r="37" spans="1:61" s="211" customFormat="1" ht="15" customHeight="1" x14ac:dyDescent="0.2">
      <c r="A37" s="547" t="s">
        <v>34</v>
      </c>
      <c r="B37" s="573" t="s">
        <v>6</v>
      </c>
      <c r="C37" s="575">
        <v>12</v>
      </c>
      <c r="D37" s="574">
        <v>15</v>
      </c>
      <c r="E37" s="575">
        <v>11</v>
      </c>
      <c r="F37" s="575">
        <v>12</v>
      </c>
      <c r="G37" s="575">
        <v>12</v>
      </c>
      <c r="H37" s="575">
        <v>11</v>
      </c>
      <c r="I37" s="575">
        <v>11</v>
      </c>
      <c r="J37" s="575">
        <v>6</v>
      </c>
      <c r="K37" s="1121">
        <v>16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</row>
    <row r="38" spans="1:61" s="211" customFormat="1" ht="15" customHeight="1" thickBot="1" x14ac:dyDescent="0.25">
      <c r="A38" s="582" t="s">
        <v>35</v>
      </c>
      <c r="B38" s="584" t="s">
        <v>6</v>
      </c>
      <c r="C38" s="585">
        <v>12</v>
      </c>
      <c r="D38" s="587">
        <v>14</v>
      </c>
      <c r="E38" s="585">
        <v>10</v>
      </c>
      <c r="F38" s="585">
        <v>10</v>
      </c>
      <c r="G38" s="585">
        <v>11</v>
      </c>
      <c r="H38" s="585">
        <v>10</v>
      </c>
      <c r="I38" s="585">
        <v>10</v>
      </c>
      <c r="J38" s="585">
        <v>6</v>
      </c>
      <c r="K38" s="1122">
        <v>15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</row>
    <row r="39" spans="1:61" x14ac:dyDescent="0.2">
      <c r="K39" s="110"/>
    </row>
    <row r="40" spans="1:61" x14ac:dyDescent="0.2">
      <c r="A40" s="1" t="s">
        <v>74</v>
      </c>
      <c r="B40" s="2"/>
      <c r="D40" s="106"/>
      <c r="G40" s="106"/>
      <c r="H40" s="106"/>
      <c r="J40" s="106"/>
      <c r="K40" s="106"/>
    </row>
    <row r="41" spans="1:61" x14ac:dyDescent="0.2">
      <c r="A41" s="1" t="s">
        <v>87</v>
      </c>
      <c r="B41" s="2"/>
      <c r="D41" s="106"/>
      <c r="G41" s="106"/>
      <c r="H41" s="106"/>
      <c r="J41" s="106"/>
      <c r="K41" s="106"/>
    </row>
    <row r="42" spans="1:61" x14ac:dyDescent="0.2">
      <c r="A42" s="1" t="s">
        <v>72</v>
      </c>
      <c r="B42" s="2"/>
      <c r="D42" s="106"/>
      <c r="G42" s="106"/>
      <c r="H42" s="106"/>
      <c r="J42" s="106"/>
      <c r="K42" s="106"/>
    </row>
    <row r="43" spans="1:61" x14ac:dyDescent="0.2">
      <c r="A43" s="1" t="s">
        <v>73</v>
      </c>
      <c r="B43" s="2"/>
      <c r="D43" s="106"/>
      <c r="G43" s="106"/>
      <c r="H43" s="106"/>
      <c r="J43" s="106"/>
      <c r="K43" s="106"/>
    </row>
    <row r="44" spans="1:61" x14ac:dyDescent="0.2">
      <c r="A44" s="6" t="s">
        <v>75</v>
      </c>
      <c r="B44" s="118"/>
      <c r="K44" s="110"/>
    </row>
    <row r="45" spans="1:61" x14ac:dyDescent="0.2">
      <c r="A45" s="19" t="s">
        <v>311</v>
      </c>
      <c r="K45" s="110"/>
    </row>
    <row r="46" spans="1:61" x14ac:dyDescent="0.2">
      <c r="K46" s="110"/>
    </row>
    <row r="47" spans="1:61" x14ac:dyDescent="0.2">
      <c r="C47" s="620"/>
      <c r="K47" s="110"/>
    </row>
    <row r="48" spans="1:61" x14ac:dyDescent="0.2">
      <c r="C48" s="620"/>
      <c r="K48" s="110"/>
    </row>
    <row r="49" spans="3:11" x14ac:dyDescent="0.2">
      <c r="C49" s="621"/>
      <c r="K49" s="110"/>
    </row>
    <row r="50" spans="3:11" x14ac:dyDescent="0.2">
      <c r="K50" s="110"/>
    </row>
    <row r="51" spans="3:11" x14ac:dyDescent="0.2">
      <c r="K51" s="110"/>
    </row>
    <row r="52" spans="3:11" x14ac:dyDescent="0.2">
      <c r="K52" s="110"/>
    </row>
    <row r="53" spans="3:11" x14ac:dyDescent="0.2">
      <c r="K53" s="110"/>
    </row>
    <row r="54" spans="3:11" x14ac:dyDescent="0.2">
      <c r="K54" s="110"/>
    </row>
    <row r="55" spans="3:11" x14ac:dyDescent="0.2">
      <c r="K55" s="110"/>
    </row>
    <row r="56" spans="3:11" x14ac:dyDescent="0.2">
      <c r="K56" s="110"/>
    </row>
    <row r="57" spans="3:11" x14ac:dyDescent="0.2">
      <c r="K57" s="110"/>
    </row>
    <row r="58" spans="3:11" x14ac:dyDescent="0.2">
      <c r="K58" s="110"/>
    </row>
    <row r="59" spans="3:11" x14ac:dyDescent="0.2">
      <c r="K59" s="110"/>
    </row>
    <row r="60" spans="3:11" x14ac:dyDescent="0.2">
      <c r="K60" s="110"/>
    </row>
    <row r="61" spans="3:11" x14ac:dyDescent="0.2">
      <c r="K61" s="110"/>
    </row>
    <row r="62" spans="3:11" x14ac:dyDescent="0.2">
      <c r="K62" s="110"/>
    </row>
    <row r="63" spans="3:11" x14ac:dyDescent="0.2">
      <c r="K63" s="110"/>
    </row>
    <row r="64" spans="3:11" x14ac:dyDescent="0.2">
      <c r="K64" s="110"/>
    </row>
    <row r="65" spans="11:11" x14ac:dyDescent="0.2">
      <c r="K65" s="110"/>
    </row>
    <row r="66" spans="11:11" x14ac:dyDescent="0.2">
      <c r="K66" s="110"/>
    </row>
    <row r="67" spans="11:11" x14ac:dyDescent="0.2">
      <c r="K67" s="110"/>
    </row>
    <row r="68" spans="11:11" x14ac:dyDescent="0.2">
      <c r="K68" s="110"/>
    </row>
    <row r="69" spans="11:11" x14ac:dyDescent="0.2">
      <c r="K69" s="110"/>
    </row>
    <row r="70" spans="11:11" x14ac:dyDescent="0.2">
      <c r="K70" s="110"/>
    </row>
    <row r="71" spans="11:11" x14ac:dyDescent="0.2">
      <c r="K71" s="110"/>
    </row>
    <row r="72" spans="11:11" x14ac:dyDescent="0.2">
      <c r="K72" s="110"/>
    </row>
    <row r="73" spans="11:11" x14ac:dyDescent="0.2">
      <c r="K73" s="110"/>
    </row>
    <row r="74" spans="11:11" x14ac:dyDescent="0.2">
      <c r="K74" s="110"/>
    </row>
    <row r="75" spans="11:11" x14ac:dyDescent="0.2">
      <c r="K75" s="110"/>
    </row>
    <row r="76" spans="11:11" x14ac:dyDescent="0.2">
      <c r="K76" s="110"/>
    </row>
    <row r="77" spans="11:11" x14ac:dyDescent="0.2">
      <c r="K77" s="110"/>
    </row>
    <row r="78" spans="11:11" x14ac:dyDescent="0.2">
      <c r="K78" s="110"/>
    </row>
    <row r="79" spans="11:11" x14ac:dyDescent="0.2">
      <c r="K79" s="110"/>
    </row>
    <row r="80" spans="11:11" x14ac:dyDescent="0.2">
      <c r="K80" s="110"/>
    </row>
    <row r="81" spans="11:11" x14ac:dyDescent="0.2">
      <c r="K81" s="110"/>
    </row>
    <row r="82" spans="11:11" x14ac:dyDescent="0.2">
      <c r="K82" s="110"/>
    </row>
    <row r="83" spans="11:11" x14ac:dyDescent="0.2">
      <c r="K83" s="110"/>
    </row>
    <row r="84" spans="11:11" x14ac:dyDescent="0.2">
      <c r="K84" s="110"/>
    </row>
    <row r="85" spans="11:11" x14ac:dyDescent="0.2">
      <c r="K85" s="110"/>
    </row>
    <row r="86" spans="11:11" x14ac:dyDescent="0.2">
      <c r="K86" s="110"/>
    </row>
    <row r="87" spans="11:11" x14ac:dyDescent="0.2">
      <c r="K87" s="110"/>
    </row>
    <row r="88" spans="11:11" x14ac:dyDescent="0.2">
      <c r="K88" s="110"/>
    </row>
    <row r="89" spans="11:11" x14ac:dyDescent="0.2">
      <c r="K89" s="110"/>
    </row>
    <row r="90" spans="11:11" x14ac:dyDescent="0.2">
      <c r="K90" s="110"/>
    </row>
    <row r="91" spans="11:11" x14ac:dyDescent="0.2">
      <c r="K91" s="110"/>
    </row>
    <row r="92" spans="11:11" x14ac:dyDescent="0.2">
      <c r="K92" s="110"/>
    </row>
    <row r="93" spans="11:11" x14ac:dyDescent="0.2">
      <c r="K93" s="110"/>
    </row>
    <row r="94" spans="11:11" x14ac:dyDescent="0.2">
      <c r="K94" s="110"/>
    </row>
    <row r="95" spans="11:11" x14ac:dyDescent="0.2">
      <c r="K95" s="110"/>
    </row>
    <row r="96" spans="11:11" x14ac:dyDescent="0.2">
      <c r="K96" s="110"/>
    </row>
    <row r="97" spans="11:11" x14ac:dyDescent="0.2">
      <c r="K97" s="110"/>
    </row>
    <row r="98" spans="11:11" x14ac:dyDescent="0.2">
      <c r="K98" s="110"/>
    </row>
    <row r="99" spans="11:11" x14ac:dyDescent="0.2">
      <c r="K99" s="110"/>
    </row>
    <row r="100" spans="11:11" x14ac:dyDescent="0.2">
      <c r="K100" s="110"/>
    </row>
    <row r="101" spans="11:11" x14ac:dyDescent="0.2">
      <c r="K101" s="110"/>
    </row>
    <row r="102" spans="11:11" x14ac:dyDescent="0.2">
      <c r="K102" s="110"/>
    </row>
    <row r="103" spans="11:11" x14ac:dyDescent="0.2">
      <c r="K103" s="110"/>
    </row>
    <row r="104" spans="11:11" x14ac:dyDescent="0.2">
      <c r="K104" s="110"/>
    </row>
    <row r="105" spans="11:11" x14ac:dyDescent="0.2">
      <c r="K105" s="110"/>
    </row>
    <row r="106" spans="11:11" x14ac:dyDescent="0.2">
      <c r="K106" s="110"/>
    </row>
    <row r="107" spans="11:11" x14ac:dyDescent="0.2">
      <c r="K107" s="110"/>
    </row>
    <row r="108" spans="11:11" x14ac:dyDescent="0.2">
      <c r="K108" s="110"/>
    </row>
    <row r="109" spans="11:11" x14ac:dyDescent="0.2">
      <c r="K109" s="110"/>
    </row>
    <row r="110" spans="11:11" x14ac:dyDescent="0.2">
      <c r="K110" s="110"/>
    </row>
    <row r="111" spans="11:11" x14ac:dyDescent="0.2">
      <c r="K111" s="110"/>
    </row>
    <row r="112" spans="11:11" x14ac:dyDescent="0.2">
      <c r="K112" s="110"/>
    </row>
    <row r="113" spans="11:11" x14ac:dyDescent="0.2">
      <c r="K113" s="110"/>
    </row>
    <row r="114" spans="11:11" x14ac:dyDescent="0.2">
      <c r="K114" s="110"/>
    </row>
    <row r="115" spans="11:11" x14ac:dyDescent="0.2">
      <c r="K115" s="110"/>
    </row>
    <row r="116" spans="11:11" x14ac:dyDescent="0.2">
      <c r="K116" s="110"/>
    </row>
    <row r="117" spans="11:11" x14ac:dyDescent="0.2">
      <c r="K117" s="110"/>
    </row>
    <row r="118" spans="11:11" x14ac:dyDescent="0.2">
      <c r="K118" s="110"/>
    </row>
    <row r="119" spans="11:11" x14ac:dyDescent="0.2">
      <c r="K119" s="110"/>
    </row>
    <row r="120" spans="11:11" x14ac:dyDescent="0.2">
      <c r="K120" s="110"/>
    </row>
    <row r="121" spans="11:11" x14ac:dyDescent="0.2">
      <c r="K121" s="110"/>
    </row>
    <row r="122" spans="11:11" x14ac:dyDescent="0.2">
      <c r="K122" s="110"/>
    </row>
    <row r="123" spans="11:11" x14ac:dyDescent="0.2">
      <c r="K123" s="110"/>
    </row>
    <row r="124" spans="11:11" x14ac:dyDescent="0.2">
      <c r="K124" s="110"/>
    </row>
    <row r="125" spans="11:11" x14ac:dyDescent="0.2">
      <c r="K125" s="110"/>
    </row>
    <row r="126" spans="11:11" x14ac:dyDescent="0.2">
      <c r="K126" s="110"/>
    </row>
    <row r="127" spans="11:11" x14ac:dyDescent="0.2">
      <c r="K127" s="110"/>
    </row>
    <row r="128" spans="11:11" x14ac:dyDescent="0.2">
      <c r="K128" s="110"/>
    </row>
    <row r="129" spans="11:11" x14ac:dyDescent="0.2">
      <c r="K129" s="110"/>
    </row>
    <row r="130" spans="11:11" x14ac:dyDescent="0.2">
      <c r="K130" s="110"/>
    </row>
    <row r="131" spans="11:11" x14ac:dyDescent="0.2">
      <c r="K131" s="110"/>
    </row>
    <row r="132" spans="11:11" x14ac:dyDescent="0.2">
      <c r="K132" s="110"/>
    </row>
    <row r="133" spans="11:11" x14ac:dyDescent="0.2">
      <c r="K133" s="110"/>
    </row>
    <row r="134" spans="11:11" x14ac:dyDescent="0.2">
      <c r="K134" s="110"/>
    </row>
    <row r="135" spans="11:11" x14ac:dyDescent="0.2">
      <c r="K135" s="110"/>
    </row>
    <row r="136" spans="11:11" x14ac:dyDescent="0.2">
      <c r="K136" s="110"/>
    </row>
    <row r="137" spans="11:11" x14ac:dyDescent="0.2">
      <c r="K137" s="110"/>
    </row>
    <row r="138" spans="11:11" x14ac:dyDescent="0.2">
      <c r="K138" s="110"/>
    </row>
    <row r="139" spans="11:11" x14ac:dyDescent="0.2">
      <c r="K139" s="110"/>
    </row>
    <row r="140" spans="11:11" x14ac:dyDescent="0.2">
      <c r="K140" s="110"/>
    </row>
    <row r="141" spans="11:11" x14ac:dyDescent="0.2">
      <c r="K141" s="110"/>
    </row>
    <row r="142" spans="11:11" x14ac:dyDescent="0.2">
      <c r="K142" s="110"/>
    </row>
    <row r="143" spans="11:11" x14ac:dyDescent="0.2">
      <c r="K143" s="110"/>
    </row>
    <row r="144" spans="11:11" x14ac:dyDescent="0.2">
      <c r="K144" s="110"/>
    </row>
    <row r="145" spans="11:11" x14ac:dyDescent="0.2">
      <c r="K145" s="110"/>
    </row>
    <row r="146" spans="11:11" x14ac:dyDescent="0.2">
      <c r="K146" s="110"/>
    </row>
    <row r="147" spans="11:11" x14ac:dyDescent="0.2">
      <c r="K147" s="110"/>
    </row>
    <row r="148" spans="11:11" x14ac:dyDescent="0.2">
      <c r="K148" s="110"/>
    </row>
    <row r="149" spans="11:11" x14ac:dyDescent="0.2">
      <c r="K149" s="110"/>
    </row>
    <row r="150" spans="11:11" x14ac:dyDescent="0.2">
      <c r="K150" s="110"/>
    </row>
    <row r="151" spans="11:11" x14ac:dyDescent="0.2">
      <c r="K151" s="110"/>
    </row>
    <row r="152" spans="11:11" x14ac:dyDescent="0.2">
      <c r="K152" s="110"/>
    </row>
    <row r="153" spans="11:11" x14ac:dyDescent="0.2">
      <c r="K153" s="110"/>
    </row>
    <row r="154" spans="11:11" x14ac:dyDescent="0.2">
      <c r="K154" s="110"/>
    </row>
    <row r="155" spans="11:11" x14ac:dyDescent="0.2">
      <c r="K155" s="110"/>
    </row>
    <row r="156" spans="11:11" x14ac:dyDescent="0.2">
      <c r="K156" s="110"/>
    </row>
    <row r="157" spans="11:11" x14ac:dyDescent="0.2">
      <c r="K157" s="110"/>
    </row>
    <row r="158" spans="11:11" x14ac:dyDescent="0.2">
      <c r="K158" s="110"/>
    </row>
    <row r="159" spans="11:11" x14ac:dyDescent="0.2">
      <c r="K159" s="110"/>
    </row>
    <row r="160" spans="11:11" x14ac:dyDescent="0.2">
      <c r="K160" s="110"/>
    </row>
    <row r="161" spans="11:11" x14ac:dyDescent="0.2">
      <c r="K161" s="110"/>
    </row>
    <row r="162" spans="11:11" x14ac:dyDescent="0.2">
      <c r="K162" s="110"/>
    </row>
    <row r="163" spans="11:11" x14ac:dyDescent="0.2">
      <c r="K163" s="110"/>
    </row>
    <row r="164" spans="11:11" x14ac:dyDescent="0.2">
      <c r="K164" s="110"/>
    </row>
    <row r="165" spans="11:11" x14ac:dyDescent="0.2">
      <c r="K165" s="110"/>
    </row>
    <row r="166" spans="11:11" x14ac:dyDescent="0.2">
      <c r="K166" s="110"/>
    </row>
    <row r="167" spans="11:11" x14ac:dyDescent="0.2">
      <c r="K167" s="110"/>
    </row>
    <row r="168" spans="11:11" x14ac:dyDescent="0.2">
      <c r="K168" s="110"/>
    </row>
    <row r="169" spans="11:11" x14ac:dyDescent="0.2">
      <c r="K169" s="110"/>
    </row>
    <row r="170" spans="11:11" x14ac:dyDescent="0.2">
      <c r="K170" s="110"/>
    </row>
    <row r="171" spans="11:11" x14ac:dyDescent="0.2">
      <c r="K171" s="110"/>
    </row>
    <row r="172" spans="11:11" x14ac:dyDescent="0.2">
      <c r="K172" s="110"/>
    </row>
    <row r="173" spans="11:11" x14ac:dyDescent="0.2">
      <c r="K173" s="110"/>
    </row>
    <row r="174" spans="11:11" x14ac:dyDescent="0.2">
      <c r="K174" s="110"/>
    </row>
    <row r="175" spans="11:11" x14ac:dyDescent="0.2">
      <c r="K175" s="110"/>
    </row>
    <row r="176" spans="11:11" x14ac:dyDescent="0.2">
      <c r="K176" s="110"/>
    </row>
    <row r="177" spans="11:11" x14ac:dyDescent="0.2">
      <c r="K177" s="110"/>
    </row>
    <row r="178" spans="11:11" x14ac:dyDescent="0.2">
      <c r="K178" s="110"/>
    </row>
    <row r="179" spans="11:11" x14ac:dyDescent="0.2">
      <c r="K179" s="110"/>
    </row>
    <row r="180" spans="11:11" x14ac:dyDescent="0.2">
      <c r="K180" s="110"/>
    </row>
    <row r="181" spans="11:11" x14ac:dyDescent="0.2">
      <c r="K181" s="110"/>
    </row>
    <row r="182" spans="11:11" x14ac:dyDescent="0.2">
      <c r="K182" s="110"/>
    </row>
    <row r="183" spans="11:11" x14ac:dyDescent="0.2">
      <c r="K183" s="110"/>
    </row>
    <row r="184" spans="11:11" x14ac:dyDescent="0.2">
      <c r="K184" s="110"/>
    </row>
    <row r="185" spans="11:11" x14ac:dyDescent="0.2">
      <c r="K185" s="110"/>
    </row>
    <row r="186" spans="11:11" x14ac:dyDescent="0.2">
      <c r="K186" s="110"/>
    </row>
    <row r="187" spans="11:11" x14ac:dyDescent="0.2">
      <c r="K187" s="110"/>
    </row>
    <row r="188" spans="11:11" x14ac:dyDescent="0.2">
      <c r="K188" s="110"/>
    </row>
    <row r="189" spans="11:11" x14ac:dyDescent="0.2">
      <c r="K189" s="110"/>
    </row>
    <row r="190" spans="11:11" x14ac:dyDescent="0.2">
      <c r="K190" s="110"/>
    </row>
    <row r="191" spans="11:11" x14ac:dyDescent="0.2">
      <c r="K191" s="110"/>
    </row>
    <row r="192" spans="11:11" x14ac:dyDescent="0.2">
      <c r="K192" s="110"/>
    </row>
    <row r="193" spans="11:11" x14ac:dyDescent="0.2">
      <c r="K193" s="110"/>
    </row>
    <row r="194" spans="11:11" x14ac:dyDescent="0.2">
      <c r="K194" s="110"/>
    </row>
    <row r="195" spans="11:11" x14ac:dyDescent="0.2">
      <c r="K195" s="110"/>
    </row>
    <row r="196" spans="11:11" x14ac:dyDescent="0.2">
      <c r="K196" s="110"/>
    </row>
    <row r="197" spans="11:11" x14ac:dyDescent="0.2">
      <c r="K197" s="110"/>
    </row>
    <row r="198" spans="11:11" x14ac:dyDescent="0.2">
      <c r="K198" s="110"/>
    </row>
    <row r="199" spans="11:11" x14ac:dyDescent="0.2">
      <c r="K199" s="110"/>
    </row>
    <row r="200" spans="11:11" x14ac:dyDescent="0.2">
      <c r="K200" s="110"/>
    </row>
    <row r="201" spans="11:11" x14ac:dyDescent="0.2">
      <c r="K201" s="110"/>
    </row>
    <row r="202" spans="11:11" x14ac:dyDescent="0.2">
      <c r="K202" s="110"/>
    </row>
    <row r="203" spans="11:11" x14ac:dyDescent="0.2">
      <c r="K203" s="110"/>
    </row>
    <row r="204" spans="11:11" x14ac:dyDescent="0.2">
      <c r="K204" s="110"/>
    </row>
    <row r="205" spans="11:11" x14ac:dyDescent="0.2">
      <c r="K205" s="110"/>
    </row>
    <row r="206" spans="11:11" x14ac:dyDescent="0.2">
      <c r="K206" s="110"/>
    </row>
    <row r="207" spans="11:11" x14ac:dyDescent="0.2">
      <c r="K207" s="110"/>
    </row>
    <row r="208" spans="11:11" x14ac:dyDescent="0.2">
      <c r="K208" s="110"/>
    </row>
    <row r="209" spans="11:11" x14ac:dyDescent="0.2">
      <c r="K209" s="110"/>
    </row>
    <row r="210" spans="11:11" x14ac:dyDescent="0.2">
      <c r="K210" s="110"/>
    </row>
    <row r="211" spans="11:11" x14ac:dyDescent="0.2">
      <c r="K211" s="110"/>
    </row>
    <row r="212" spans="11:11" x14ac:dyDescent="0.2">
      <c r="K212" s="110"/>
    </row>
    <row r="213" spans="11:11" x14ac:dyDescent="0.2">
      <c r="K213" s="110"/>
    </row>
    <row r="214" spans="11:11" x14ac:dyDescent="0.2">
      <c r="K214" s="110"/>
    </row>
    <row r="215" spans="11:11" x14ac:dyDescent="0.2">
      <c r="K215" s="110"/>
    </row>
    <row r="216" spans="11:11" x14ac:dyDescent="0.2">
      <c r="K216" s="110"/>
    </row>
    <row r="217" spans="11:11" x14ac:dyDescent="0.2">
      <c r="K217" s="110"/>
    </row>
    <row r="218" spans="11:11" x14ac:dyDescent="0.2">
      <c r="K218" s="110"/>
    </row>
    <row r="219" spans="11:11" x14ac:dyDescent="0.2">
      <c r="K219" s="110"/>
    </row>
    <row r="220" spans="11:11" x14ac:dyDescent="0.2">
      <c r="K220" s="110"/>
    </row>
    <row r="221" spans="11:11" x14ac:dyDescent="0.2">
      <c r="K221" s="110"/>
    </row>
    <row r="222" spans="11:11" x14ac:dyDescent="0.2">
      <c r="K222" s="110"/>
    </row>
    <row r="223" spans="11:11" x14ac:dyDescent="0.2">
      <c r="K223" s="110"/>
    </row>
    <row r="224" spans="11:11" x14ac:dyDescent="0.2">
      <c r="K224" s="110"/>
    </row>
    <row r="225" spans="11:11" x14ac:dyDescent="0.2">
      <c r="K225" s="110"/>
    </row>
    <row r="226" spans="11:11" x14ac:dyDescent="0.2">
      <c r="K226" s="110"/>
    </row>
    <row r="227" spans="11:11" x14ac:dyDescent="0.2">
      <c r="K227" s="110"/>
    </row>
    <row r="228" spans="11:11" x14ac:dyDescent="0.2">
      <c r="K228" s="110"/>
    </row>
    <row r="229" spans="11:11" x14ac:dyDescent="0.2">
      <c r="K229" s="110"/>
    </row>
    <row r="230" spans="11:11" x14ac:dyDescent="0.2">
      <c r="K230" s="110"/>
    </row>
    <row r="231" spans="11:11" x14ac:dyDescent="0.2">
      <c r="K231" s="110"/>
    </row>
    <row r="232" spans="11:11" x14ac:dyDescent="0.2">
      <c r="K232" s="110"/>
    </row>
    <row r="233" spans="11:11" x14ac:dyDescent="0.2">
      <c r="K233" s="110"/>
    </row>
    <row r="234" spans="11:11" x14ac:dyDescent="0.2">
      <c r="K234" s="110"/>
    </row>
    <row r="235" spans="11:11" x14ac:dyDescent="0.2">
      <c r="K235" s="110"/>
    </row>
    <row r="236" spans="11:11" x14ac:dyDescent="0.2">
      <c r="K236" s="110"/>
    </row>
    <row r="237" spans="11:11" x14ac:dyDescent="0.2">
      <c r="K237" s="110"/>
    </row>
    <row r="238" spans="11:11" x14ac:dyDescent="0.2">
      <c r="K238" s="110"/>
    </row>
    <row r="239" spans="11:11" x14ac:dyDescent="0.2">
      <c r="K239" s="110"/>
    </row>
    <row r="240" spans="11:11" x14ac:dyDescent="0.2">
      <c r="K240" s="110"/>
    </row>
    <row r="241" spans="11:11" x14ac:dyDescent="0.2">
      <c r="K241" s="110"/>
    </row>
    <row r="242" spans="11:11" x14ac:dyDescent="0.2">
      <c r="K242" s="110"/>
    </row>
    <row r="243" spans="11:11" x14ac:dyDescent="0.2">
      <c r="K243" s="110"/>
    </row>
    <row r="244" spans="11:11" x14ac:dyDescent="0.2">
      <c r="K244" s="110"/>
    </row>
    <row r="245" spans="11:11" x14ac:dyDescent="0.2">
      <c r="K245" s="110"/>
    </row>
    <row r="246" spans="11:11" x14ac:dyDescent="0.2">
      <c r="K246" s="110"/>
    </row>
    <row r="247" spans="11:11" x14ac:dyDescent="0.2">
      <c r="K247" s="110"/>
    </row>
    <row r="248" spans="11:11" x14ac:dyDescent="0.2">
      <c r="K248" s="110"/>
    </row>
    <row r="249" spans="11:11" x14ac:dyDescent="0.2">
      <c r="K249" s="110"/>
    </row>
  </sheetData>
  <phoneticPr fontId="5" type="noConversion"/>
  <printOptions horizontalCentered="1" verticalCentered="1"/>
  <pageMargins left="0.39370078740157483" right="0.39370078740157483" top="0.39370078740157483" bottom="0.39370078740157483" header="0.31496062992125984" footer="0.11811023622047245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EPRG</vt:lpstr>
      <vt:lpstr> IPRG DIP</vt:lpstr>
      <vt:lpstr>IPRG TET</vt:lpstr>
      <vt:lpstr> LPRG DIP</vt:lpstr>
      <vt:lpstr>LPRG TET</vt:lpstr>
      <vt:lpstr>IRG DIP</vt:lpstr>
      <vt:lpstr>IRG TET</vt:lpstr>
      <vt:lpstr>HRG</vt:lpstr>
      <vt:lpstr>TIM</vt:lpstr>
      <vt:lpstr>WC</vt:lpstr>
      <vt:lpstr>RC</vt:lpstr>
      <vt:lpstr>LU</vt:lpstr>
      <vt:lpstr>CFT</vt:lpstr>
      <vt:lpstr>' IPRG DIP'!Print_Area</vt:lpstr>
      <vt:lpstr>' LPRG DIP'!Print_Area</vt:lpstr>
      <vt:lpstr>EPRG!Print_Area</vt:lpstr>
      <vt:lpstr>HRG!Print_Area</vt:lpstr>
      <vt:lpstr>'IPRG TET'!Print_Area</vt:lpstr>
      <vt:lpstr>'IRG DIP'!Print_Area</vt:lpstr>
      <vt:lpstr>'LPRG TET'!Print_Area</vt:lpstr>
      <vt:lpstr>TIM!Print_Area</vt:lpstr>
      <vt:lpstr>WC!Print_Area</vt:lpstr>
      <vt:lpstr>'IRG DIP'!Print_Titles</vt:lpstr>
      <vt:lpstr>WC!Print_Titles</vt:lpstr>
    </vt:vector>
  </TitlesOfParts>
  <Company>NIAB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</dc:creator>
  <cp:lastModifiedBy>Ellie Sweetman</cp:lastModifiedBy>
  <cp:lastPrinted>2020-01-21T12:25:53Z</cp:lastPrinted>
  <dcterms:created xsi:type="dcterms:W3CDTF">2009-03-05T08:43:59Z</dcterms:created>
  <dcterms:modified xsi:type="dcterms:W3CDTF">2020-03-30T15:09:26Z</dcterms:modified>
</cp:coreProperties>
</file>