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ckeec\OneDrive - AHDB\Documents\RGCL\2021\"/>
    </mc:Choice>
  </mc:AlternateContent>
  <bookViews>
    <workbookView xWindow="13050" yWindow="4470" windowWidth="15375" windowHeight="6270" tabRatio="681" activeTab="9"/>
  </bookViews>
  <sheets>
    <sheet name="EPRG" sheetId="10" r:id="rId1"/>
    <sheet name=" IPRG DIP" sheetId="11" r:id="rId2"/>
    <sheet name="IPRG TET" sheetId="24" r:id="rId3"/>
    <sheet name=" LPRG DIP" sheetId="21" r:id="rId4"/>
    <sheet name="LPRG TET" sheetId="25" r:id="rId5"/>
    <sheet name="IRG DIP" sheetId="13" r:id="rId6"/>
    <sheet name="IRG TET" sheetId="22" r:id="rId7"/>
    <sheet name="HRG" sheetId="12" r:id="rId8"/>
    <sheet name="TIM" sheetId="19" r:id="rId9"/>
    <sheet name="WC" sheetId="14" r:id="rId10"/>
    <sheet name="RC" sheetId="16" r:id="rId11"/>
    <sheet name="LU" sheetId="18" r:id="rId12"/>
    <sheet name="CFT" sheetId="17" r:id="rId13"/>
  </sheets>
  <externalReferences>
    <externalReference r:id="rId14"/>
  </externalReferences>
  <definedNames>
    <definedName name="M2Largest_LSD_mean">[1]M2P1!$I$63</definedName>
    <definedName name="_xlnm.Print_Area" localSheetId="1">' IPRG DIP'!$A$1:$Q$53</definedName>
    <definedName name="_xlnm.Print_Area" localSheetId="3">' LPRG DIP'!$A$1:$AC$53</definedName>
    <definedName name="_xlnm.Print_Area" localSheetId="0">EPRG!$A$1:$K$54</definedName>
    <definedName name="_xlnm.Print_Area" localSheetId="7">HRG!$A$1:$W$48</definedName>
    <definedName name="_xlnm.Print_Area" localSheetId="2">'IPRG TET'!$A$1:$V$53</definedName>
    <definedName name="_xlnm.Print_Area" localSheetId="5">'IRG DIP'!$A$1:$Q$43</definedName>
    <definedName name="_xlnm.Print_Area" localSheetId="4">'LPRG TET'!$A$1:$S$53</definedName>
    <definedName name="_xlnm.Print_Area" localSheetId="8">TIM!$A$1:$L$47</definedName>
    <definedName name="_xlnm.Print_Area" localSheetId="9">WC!$A$1:$S$42</definedName>
    <definedName name="_xlnm.Print_Titles" localSheetId="5">'IRG DIP'!$A:$B</definedName>
    <definedName name="_xlnm.Print_Titles" localSheetId="9">WC!$A:$A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7" l="1"/>
  <c r="D10" i="17"/>
  <c r="C10" i="17"/>
  <c r="B10" i="17"/>
  <c r="K25" i="19"/>
  <c r="J25" i="19"/>
  <c r="I25" i="19"/>
  <c r="H25" i="19"/>
  <c r="G25" i="19"/>
  <c r="F25" i="19"/>
  <c r="E25" i="19"/>
  <c r="D25" i="19"/>
  <c r="C25" i="19"/>
  <c r="B25" i="19"/>
  <c r="K23" i="19"/>
  <c r="J23" i="19"/>
  <c r="I23" i="19"/>
  <c r="H23" i="19"/>
  <c r="G23" i="19"/>
  <c r="F23" i="19"/>
  <c r="E23" i="19"/>
  <c r="D23" i="19"/>
  <c r="C23" i="19"/>
  <c r="B23" i="19"/>
  <c r="K8" i="19"/>
  <c r="J8" i="19"/>
  <c r="I8" i="19"/>
  <c r="H8" i="19"/>
  <c r="G8" i="19"/>
  <c r="F8" i="19"/>
  <c r="E8" i="19"/>
  <c r="D8" i="19"/>
  <c r="C8" i="19"/>
  <c r="B8" i="19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B20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B18" i="1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Q18" i="13"/>
  <c r="P18" i="13"/>
  <c r="O18" i="13"/>
  <c r="N18" i="13"/>
  <c r="M18" i="13"/>
  <c r="L18" i="13"/>
  <c r="K18" i="13"/>
  <c r="J18" i="13"/>
  <c r="H18" i="13"/>
  <c r="G18" i="13"/>
  <c r="F18" i="13"/>
  <c r="E18" i="13"/>
  <c r="D18" i="13"/>
  <c r="C18" i="13"/>
  <c r="B18" i="13"/>
  <c r="Q16" i="13"/>
  <c r="P16" i="13"/>
  <c r="O16" i="13"/>
  <c r="N16" i="13"/>
  <c r="M16" i="13"/>
  <c r="L16" i="13"/>
  <c r="K16" i="13"/>
  <c r="H16" i="13"/>
  <c r="G16" i="13"/>
  <c r="F16" i="13"/>
  <c r="E16" i="13"/>
  <c r="D16" i="13"/>
  <c r="C16" i="13"/>
  <c r="B16" i="13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D8" i="21"/>
  <c r="C8" i="21"/>
  <c r="B8" i="21"/>
  <c r="P29" i="11"/>
  <c r="O29" i="11"/>
  <c r="N29" i="11"/>
  <c r="M29" i="11"/>
  <c r="L29" i="11"/>
  <c r="K29" i="11"/>
  <c r="J29" i="11"/>
  <c r="I29" i="11"/>
  <c r="H29" i="11"/>
  <c r="G29" i="11"/>
  <c r="F29" i="11"/>
  <c r="E29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9" i="11"/>
  <c r="C29" i="11"/>
  <c r="D27" i="11"/>
  <c r="C27" i="11"/>
  <c r="B29" i="11"/>
  <c r="B27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B8" i="11"/>
  <c r="J30" i="10"/>
  <c r="I30" i="10"/>
  <c r="H30" i="10"/>
  <c r="G30" i="10"/>
  <c r="F30" i="10"/>
  <c r="E30" i="10"/>
  <c r="D30" i="10"/>
  <c r="C30" i="10"/>
  <c r="B30" i="10"/>
  <c r="J28" i="10"/>
  <c r="I28" i="10"/>
  <c r="H28" i="10"/>
  <c r="G28" i="10"/>
  <c r="F28" i="10"/>
  <c r="E28" i="10"/>
  <c r="D28" i="10"/>
  <c r="C28" i="10"/>
  <c r="B28" i="10"/>
  <c r="J9" i="10"/>
  <c r="I9" i="10"/>
  <c r="H9" i="10"/>
  <c r="G9" i="10"/>
  <c r="F9" i="10"/>
  <c r="E9" i="10"/>
  <c r="D9" i="10"/>
  <c r="C9" i="10"/>
  <c r="B9" i="10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V8" i="24"/>
  <c r="U8" i="24"/>
  <c r="T8" i="24"/>
  <c r="S8" i="24"/>
  <c r="R8" i="24"/>
  <c r="Q8" i="24"/>
  <c r="P8" i="24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B8" i="24"/>
</calcChain>
</file>

<file path=xl/sharedStrings.xml><?xml version="1.0" encoding="utf-8"?>
<sst xmlns="http://schemas.openxmlformats.org/spreadsheetml/2006/main" count="1552" uniqueCount="447">
  <si>
    <t xml:space="preserve">AberMagic </t>
  </si>
  <si>
    <t>G</t>
  </si>
  <si>
    <t>PG</t>
  </si>
  <si>
    <t>PS</t>
  </si>
  <si>
    <t>S</t>
  </si>
  <si>
    <t>-</t>
  </si>
  <si>
    <t>Crown Rust (1-9, 9=good)</t>
  </si>
  <si>
    <t>Drechslera (1-9, 9=good)</t>
  </si>
  <si>
    <t>Mildew (1-9, 9=good)</t>
  </si>
  <si>
    <t>Year First Listed</t>
  </si>
  <si>
    <t>Number of trials for yields</t>
  </si>
  <si>
    <t>Heading date</t>
  </si>
  <si>
    <t xml:space="preserve">Grazing seasonal growth </t>
  </si>
  <si>
    <t>Grazing management</t>
  </si>
  <si>
    <t>Conservation management</t>
  </si>
  <si>
    <t>Agronomic characters</t>
  </si>
  <si>
    <t>Disease resistance</t>
  </si>
  <si>
    <t>Violin</t>
  </si>
  <si>
    <t>Alice</t>
  </si>
  <si>
    <t>Barblanca</t>
  </si>
  <si>
    <t>Aran</t>
  </si>
  <si>
    <t xml:space="preserve">Recommended List Status </t>
  </si>
  <si>
    <t>% Clover</t>
  </si>
  <si>
    <t>Diploids</t>
  </si>
  <si>
    <t>Tetraploids</t>
  </si>
  <si>
    <t>Conservation seasonal growth - Year 1</t>
  </si>
  <si>
    <t xml:space="preserve">Recommended List status </t>
  </si>
  <si>
    <t>1st harvest year</t>
  </si>
  <si>
    <t>2nd harvest year</t>
  </si>
  <si>
    <t>3rd harvest year</t>
  </si>
  <si>
    <t xml:space="preserve">Yields are expressed as a percentage of the mean of all fully recommended hybrid ryegrass varieties in trials. </t>
  </si>
  <si>
    <t>Meribel</t>
  </si>
  <si>
    <t>Fox</t>
  </si>
  <si>
    <t>Muriello</t>
  </si>
  <si>
    <t>Alamo</t>
  </si>
  <si>
    <t>Steel</t>
  </si>
  <si>
    <t>Abys</t>
  </si>
  <si>
    <t>Davinci</t>
  </si>
  <si>
    <t>Belluna</t>
  </si>
  <si>
    <t>Lemmon</t>
  </si>
  <si>
    <t>Merviot</t>
  </si>
  <si>
    <t>Amos(T)</t>
  </si>
  <si>
    <t>Sparta</t>
  </si>
  <si>
    <t>Lidacta</t>
  </si>
  <si>
    <t>Resistance to Mildew (1-9, 9=good)</t>
  </si>
  <si>
    <t>Resistance to Mastigosporium (1-9, 9=good)</t>
  </si>
  <si>
    <t>Marshall</t>
  </si>
  <si>
    <t>Daisy</t>
  </si>
  <si>
    <t>AberClaret</t>
  </si>
  <si>
    <t>Comer</t>
  </si>
  <si>
    <t xml:space="preserve">Presto </t>
  </si>
  <si>
    <t>Dolina</t>
  </si>
  <si>
    <t>Comtal</t>
  </si>
  <si>
    <t>Promesse</t>
  </si>
  <si>
    <t>Winnetou</t>
  </si>
  <si>
    <t>Moverdi</t>
  </si>
  <si>
    <t>Motim</t>
  </si>
  <si>
    <t>Resistance to Yellow Rust(1-9, 9=good)</t>
  </si>
  <si>
    <t>Genesis</t>
  </si>
  <si>
    <t>Moyola</t>
  </si>
  <si>
    <t xml:space="preserve">Grazing management </t>
  </si>
  <si>
    <t>Grazing D-value is measured from a late-summer cut in year 2 and the Grazing ME yields are calculated as total yield multiplied by the D-value x 0.16.</t>
  </si>
  <si>
    <t xml:space="preserve">Conservation D-value is measured from both the 1st and 2nd cuts in year 1.  </t>
  </si>
  <si>
    <t xml:space="preserve">Yields are expressed as a percentage of the mean of all fully recommended timothy varieties in trials. Grazing yields are measured in year 2, Conservation yields in years 1 &amp; 3. </t>
  </si>
  <si>
    <t>Conservation ME yields are calculated as the first year first cut multiplied by its D-value x 0.16, plus the first year second cut yield multiplied by its D-value x 0.16.</t>
  </si>
  <si>
    <t xml:space="preserve">Yields are expressed as a percentage of the mean of all fully recommended italian ryegrass varieties in trials. </t>
  </si>
  <si>
    <t>Boyne</t>
  </si>
  <si>
    <t>Romark</t>
  </si>
  <si>
    <t>Drumbo</t>
  </si>
  <si>
    <t>Cancan</t>
  </si>
  <si>
    <t>AberAvon</t>
  </si>
  <si>
    <t>AberChoice</t>
  </si>
  <si>
    <t xml:space="preserve">Yields are expressed as a percentage of the mean of all fully recommended PRG varieties in trials. Grazing yields are measured in year 2, Conservation yields in years 1 &amp; 3. </t>
  </si>
  <si>
    <t>AberAce</t>
  </si>
  <si>
    <t>AberHerald</t>
  </si>
  <si>
    <t>AberDai</t>
  </si>
  <si>
    <t>Conservation ME yields are calculated as the first year 2nd cut multiplied by its D-value x 0.16, plus the first year 3rd cut multiplied by its D-value x 0.16.</t>
  </si>
  <si>
    <t>Note that the mean of G varieties include all those from early, intermediate and late maturity groups.</t>
  </si>
  <si>
    <t>Toddington</t>
  </si>
  <si>
    <t>Maro(T)</t>
  </si>
  <si>
    <t>Aber S.184</t>
  </si>
  <si>
    <t>AberGreen</t>
  </si>
  <si>
    <t xml:space="preserve">AberChianti       </t>
  </si>
  <si>
    <t>Harmonie</t>
  </si>
  <si>
    <t xml:space="preserve">Atlantis(T)          </t>
  </si>
  <si>
    <t>Iona</t>
  </si>
  <si>
    <t>Shakira</t>
  </si>
  <si>
    <t>Glenariff</t>
  </si>
  <si>
    <t>Clanrye</t>
  </si>
  <si>
    <t>G Bounty</t>
  </si>
  <si>
    <t>Javorio</t>
  </si>
  <si>
    <t>Buddy</t>
  </si>
  <si>
    <t>Magellan(T)</t>
  </si>
  <si>
    <t>Nifty</t>
  </si>
  <si>
    <t>Moira</t>
  </si>
  <si>
    <t>AberWolf</t>
  </si>
  <si>
    <t>Cavendish</t>
  </si>
  <si>
    <t>Timing</t>
  </si>
  <si>
    <t>Elyria</t>
  </si>
  <si>
    <t>Light Defoliation</t>
  </si>
  <si>
    <t>Hard Defoliation</t>
  </si>
  <si>
    <t>Overall (1-9, 1=poor 9=good)</t>
  </si>
  <si>
    <t>Glenarm</t>
  </si>
  <si>
    <t>[4.5]</t>
  </si>
  <si>
    <t>Dublin</t>
  </si>
  <si>
    <t>Discovery</t>
  </si>
  <si>
    <t>Metis</t>
  </si>
  <si>
    <t>Kilian</t>
  </si>
  <si>
    <t>Brianna</t>
  </si>
  <si>
    <t>Glasker</t>
  </si>
  <si>
    <t>Gosford</t>
  </si>
  <si>
    <t>AberZeus</t>
  </si>
  <si>
    <t>[ ] = Only 2 trials worth of data.</t>
  </si>
  <si>
    <t>Aston  Conqueror</t>
  </si>
  <si>
    <t>AberLee</t>
  </si>
  <si>
    <t>[6.9]</t>
  </si>
  <si>
    <t>Smile</t>
  </si>
  <si>
    <t>AberSwan</t>
  </si>
  <si>
    <t>Callan</t>
  </si>
  <si>
    <t>Bowie</t>
  </si>
  <si>
    <t>AberBann</t>
  </si>
  <si>
    <t>Oakpark</t>
  </si>
  <si>
    <t xml:space="preserve">Sinope      </t>
  </si>
  <si>
    <t>[6.7]</t>
  </si>
  <si>
    <t>Dundrod</t>
  </si>
  <si>
    <t>Fearga</t>
  </si>
  <si>
    <t>Agaska</t>
  </si>
  <si>
    <t>Coolfin</t>
  </si>
  <si>
    <t>Galgorm</t>
  </si>
  <si>
    <t>Kendal</t>
  </si>
  <si>
    <t>Melprimo</t>
  </si>
  <si>
    <t>AstonKing</t>
  </si>
  <si>
    <t>[7.4]</t>
  </si>
  <si>
    <t>[6.3]</t>
  </si>
  <si>
    <t>[6.4]</t>
  </si>
  <si>
    <t>[7.6]</t>
  </si>
  <si>
    <t>[6.8]</t>
  </si>
  <si>
    <t>[7.7]</t>
  </si>
  <si>
    <t>Mean of 
G varieties</t>
  </si>
  <si>
    <t>Mean of all 
varieties</t>
  </si>
  <si>
    <t>Mean of  G  
varieties</t>
  </si>
  <si>
    <t>Mean of G 
varieties</t>
  </si>
  <si>
    <t>Mean of  G  varieties</t>
  </si>
  <si>
    <t># Clover Yields Transformed</t>
  </si>
  <si>
    <t>LATE PERENNIAL RYEGRASS TETRAPLOID VARIETIES  Recommended list 2020/2021</t>
  </si>
  <si>
    <t>LATE PERENNIAL RYEGRASS DIPLOID VARIETIES  Recommended list 2020/2021</t>
  </si>
  <si>
    <t>INTERMEDIATE PERENNIAL RYEGRASS TETRAPLOID VARIETIES  Recommended list 2020/2021</t>
  </si>
  <si>
    <t>Syntilla</t>
  </si>
  <si>
    <t>Itarzi</t>
  </si>
  <si>
    <t>Udine</t>
  </si>
  <si>
    <t>Hunter</t>
  </si>
  <si>
    <t>Barmultra II</t>
  </si>
  <si>
    <t>Kigezi 1</t>
  </si>
  <si>
    <t>Gemini</t>
  </si>
  <si>
    <t>Arman</t>
  </si>
  <si>
    <t>Cazzano</t>
  </si>
  <si>
    <t>Messina</t>
  </si>
  <si>
    <t>Barimax</t>
  </si>
  <si>
    <t>AberEcho</t>
  </si>
  <si>
    <t>Aston                  
Crusader</t>
  </si>
  <si>
    <t>Perkins</t>
  </si>
  <si>
    <t xml:space="preserve">Bannfoot      </t>
  </si>
  <si>
    <t>Enduro</t>
  </si>
  <si>
    <t xml:space="preserve">Tetragraze            </t>
  </si>
  <si>
    <t>Novial</t>
  </si>
  <si>
    <t>Kirial</t>
  </si>
  <si>
    <t>Bahial</t>
  </si>
  <si>
    <t>Amalgam</t>
  </si>
  <si>
    <t>AberImage</t>
  </si>
  <si>
    <t>Pirol</t>
  </si>
  <si>
    <t>Barsilo</t>
  </si>
  <si>
    <t>Barclamp</t>
  </si>
  <si>
    <t>AberNiche         
(Fest)</t>
  </si>
  <si>
    <t>Perseus 
(Fest)</t>
  </si>
  <si>
    <t>AberTorch</t>
  </si>
  <si>
    <t>Cooky</t>
  </si>
  <si>
    <t>Fintona</t>
  </si>
  <si>
    <t xml:space="preserve">Glenstal </t>
  </si>
  <si>
    <t>Seagoe</t>
  </si>
  <si>
    <t>Nolwen</t>
  </si>
  <si>
    <t>AberClyde</t>
  </si>
  <si>
    <t>AstonVision</t>
  </si>
  <si>
    <t>AberSpey</t>
  </si>
  <si>
    <t>Dunluce</t>
  </si>
  <si>
    <t>Caledon</t>
  </si>
  <si>
    <t xml:space="preserve">Diwan </t>
  </si>
  <si>
    <t xml:space="preserve">Montova </t>
  </si>
  <si>
    <t>Triwarwic</t>
  </si>
  <si>
    <t>Pensel</t>
  </si>
  <si>
    <t>Federer</t>
  </si>
  <si>
    <t>AstonEnergy</t>
  </si>
  <si>
    <t>Ballintoy</t>
  </si>
  <si>
    <t>Bijou</t>
  </si>
  <si>
    <t>Weldone</t>
  </si>
  <si>
    <t>Meiduno</t>
  </si>
  <si>
    <t>Calao</t>
  </si>
  <si>
    <t>Hurricane</t>
  </si>
  <si>
    <t>Aspect</t>
  </si>
  <si>
    <t>AberGain</t>
  </si>
  <si>
    <t>Nashota</t>
  </si>
  <si>
    <t xml:space="preserve">AberBite </t>
  </si>
  <si>
    <t>Twymax</t>
  </si>
  <si>
    <t>Youpi</t>
  </si>
  <si>
    <t>Thegn</t>
  </si>
  <si>
    <t>Hopi</t>
  </si>
  <si>
    <t>Gleneagle</t>
  </si>
  <si>
    <t>AberTest</t>
  </si>
  <si>
    <t>Ballyvoy</t>
  </si>
  <si>
    <t>Swan</t>
  </si>
  <si>
    <t>Gracehill</t>
  </si>
  <si>
    <t>Sendero</t>
  </si>
  <si>
    <t>Baronaise</t>
  </si>
  <si>
    <t>[109]</t>
  </si>
  <si>
    <t>Hybrid diploids have more secondary heading than hybrid tetraploids.</t>
  </si>
  <si>
    <t>[7.9]</t>
  </si>
  <si>
    <t>[5.3]</t>
  </si>
  <si>
    <t>[5.9]</t>
  </si>
  <si>
    <t>[3.7]</t>
  </si>
  <si>
    <t>[4.2]</t>
  </si>
  <si>
    <t>[7.2]</t>
  </si>
  <si>
    <t>[7.1]</t>
  </si>
  <si>
    <t xml:space="preserve">1st conservation cut D-Value  </t>
  </si>
  <si>
    <t>2nd conservation cut D-Value</t>
  </si>
  <si>
    <t xml:space="preserve">1st conservation cut D-Value </t>
  </si>
  <si>
    <t xml:space="preserve">2nd conservation cut D-Value </t>
  </si>
  <si>
    <t>2nd cut D-value</t>
  </si>
  <si>
    <t xml:space="preserve">1st cut D-Value </t>
  </si>
  <si>
    <t xml:space="preserve">Grazing D-value </t>
  </si>
  <si>
    <t xml:space="preserve">2nd cut D-Value </t>
  </si>
  <si>
    <t>Grazing D-value</t>
  </si>
  <si>
    <t>1st cut D-Value</t>
  </si>
  <si>
    <t>Convey</t>
  </si>
  <si>
    <t>EARLY PERENNIAL RYEGRASS  VARIETIES  Recommended list 2021/2022</t>
  </si>
  <si>
    <t>INTERMEDIATE PERENNIAL RYEGRASS DIPLOID VARIETIES  Recommended list 2021/2022</t>
  </si>
  <si>
    <t>AberRoot (Fest)</t>
  </si>
  <si>
    <t>Ritchie</t>
  </si>
  <si>
    <t>Wetherby</t>
  </si>
  <si>
    <t>Zorgue</t>
  </si>
  <si>
    <t>Delika</t>
  </si>
  <si>
    <t>ITALIAN RYEGRASS DIPLOID VARIETIES Recommended list 2021/2022</t>
  </si>
  <si>
    <t>ITALIAN RYEGRASS TETRAPLOID VARIETIES Recommended list 2021/2022</t>
  </si>
  <si>
    <t>AberSheen</t>
  </si>
  <si>
    <t>RGT Cordial</t>
  </si>
  <si>
    <t>RED CLOVER VARIETIES  Recommended list 2021/2022</t>
  </si>
  <si>
    <t>RGT Lovely</t>
  </si>
  <si>
    <t>[5.7]</t>
  </si>
  <si>
    <t>[4.9]</t>
  </si>
  <si>
    <t>[5.2]</t>
  </si>
  <si>
    <t>[8.2]</t>
  </si>
  <si>
    <t>[6.1]</t>
  </si>
  <si>
    <t>[6.6]</t>
  </si>
  <si>
    <t>[4.6]</t>
  </si>
  <si>
    <t>Chatsworth</t>
  </si>
  <si>
    <t>[9.0]</t>
  </si>
  <si>
    <t>[8.3]</t>
  </si>
  <si>
    <t>DESCRIPTIVE LIST OF COCKSFOOT  VARIETIES  2021/2022</t>
  </si>
  <si>
    <t>[6.5]</t>
  </si>
  <si>
    <t>[5.5]</t>
  </si>
  <si>
    <t>[4.3]</t>
  </si>
  <si>
    <t>[5.6]</t>
  </si>
  <si>
    <t>[4.7]</t>
  </si>
  <si>
    <t>[7.0]</t>
  </si>
  <si>
    <t>[7.3]</t>
  </si>
  <si>
    <t>HYBRID RYEGRASS VARIETIES Recommended list 2021/2022</t>
  </si>
  <si>
    <t>TIMOTHY VARIETIES  Recommended list 2021/2022</t>
  </si>
  <si>
    <t>WHITE CLOVER VARIETIES  Recommended list 2021/2022</t>
  </si>
  <si>
    <t>DESCRIPTIVE LIST OF  LUCERNE VARIETIES 2021/2022</t>
  </si>
  <si>
    <t>Melsitra</t>
  </si>
  <si>
    <t xml:space="preserve">Conservation D-value is measured from both the 2nd and 3rd cuts in year 1. </t>
  </si>
  <si>
    <t>Conservation D-value is measured from both the 2nd and 3rd cuts in year 1.</t>
  </si>
  <si>
    <t>Total yield year 1 (% of 16.92 t DM/ha)</t>
  </si>
  <si>
    <t>Total yield year 3 (% of 13.00 t DM/ha)</t>
  </si>
  <si>
    <t>Early grazing yield (% of 1.18 t DM/ha)</t>
  </si>
  <si>
    <t>Spring (% of 2.24 t DM/ha)</t>
  </si>
  <si>
    <t>Autumn (% of 1.49 t DM/ha)</t>
  </si>
  <si>
    <t>1st cut (% of 7.13 t DM/ha)</t>
  </si>
  <si>
    <t>2nd cut (% of 3.76 t DM/ha)</t>
  </si>
  <si>
    <t>3rd cut (% of 2.86 t DM/ha)</t>
  </si>
  <si>
    <t>Grazing yield (% of 9.81 t DM/ha)</t>
  </si>
  <si>
    <t>4th+ cut (% of 2.99 t DM/ha)</t>
  </si>
  <si>
    <t>ME Yield (% of 121 000 MJ/ha)</t>
  </si>
  <si>
    <t>1st and 2nd cut ME yield, first harvest year                             (% of 128 000 MJ/ha)</t>
  </si>
  <si>
    <t>Early Diploid 
mean (G's only)</t>
  </si>
  <si>
    <t>Early Tetraploid 
mean (G and S)</t>
  </si>
  <si>
    <t>Total yield: mean (% of 15.05 t DM/ha)</t>
  </si>
  <si>
    <t>Ground cover% (2nd harvest year)</t>
  </si>
  <si>
    <t>Ground cover% (3rd harvest year)</t>
  </si>
  <si>
    <t>Autumn Ground cover (1-9, 1=poor 9=good)</t>
  </si>
  <si>
    <t>INT. Diploid 
mean 
(G's only)</t>
  </si>
  <si>
    <t>ME yield (% of 121 000 MJ/ha)</t>
  </si>
  <si>
    <t>Autumn ground cover (1-9, 1=poor 9=good)</t>
  </si>
  <si>
    <t>Early summer (% of 3.56 t DM/ha)</t>
  </si>
  <si>
    <t>Late summer (% of 2.54 t DM/ha)</t>
  </si>
  <si>
    <t xml:space="preserve">1st cut D-value </t>
  </si>
  <si>
    <t>Winter hardiness (1-9, 9=good)</t>
  </si>
  <si>
    <t>Grazing yield (% of 9.87 t DM/ha)</t>
  </si>
  <si>
    <t>Total yield year 1 (% of 17.32 t DM/ha)</t>
  </si>
  <si>
    <t>Total yield year 3 (% of 13.16 t DM/ha)</t>
  </si>
  <si>
    <t>Early grazing yield (% of 1.07 t DM/ha)</t>
  </si>
  <si>
    <t>Spring (% of 2.26 t DM/ha)</t>
  </si>
  <si>
    <t>Autumn (% of 1.50 t DM/ha)</t>
  </si>
  <si>
    <t>1st cut (% of 7.34 t DM/ha)</t>
  </si>
  <si>
    <t>2nd cut (% of 3.93 t DM/ha)</t>
  </si>
  <si>
    <t>3rd cut (% of 2.89 t DM/ha)</t>
  </si>
  <si>
    <t>4th+ cut (% of 3.03 t DM/ha)</t>
  </si>
  <si>
    <t>1st harvest year (% of 18.53 t DM/ha)</t>
  </si>
  <si>
    <t>2nd harvest year (% of 14.47 t DM/ha)</t>
  </si>
  <si>
    <t>Early spring growth  (% of 1.69 t DM/ha)</t>
  </si>
  <si>
    <t>1st conservation cut (% of 6.60 t DM/ha)</t>
  </si>
  <si>
    <t>2nd conservation cut (% of 4.20 t DM/ha)</t>
  </si>
  <si>
    <t>Monthly cuts ( % of 6.07 t DM/ha)</t>
  </si>
  <si>
    <t>1st harvest year (% of 18.03 t DM/ha)</t>
  </si>
  <si>
    <t>2nd harvest year (% of 13.98 t DM/ha)</t>
  </si>
  <si>
    <t>3rd harvest year (% of 13.11 t DM/ha)</t>
  </si>
  <si>
    <t>Early spring growth  (% of 1.52 t DM/ha)</t>
  </si>
  <si>
    <t>1st conservation cut (% of 6.66 t DM/ha)</t>
  </si>
  <si>
    <t>2nd conservation cut (% of 3.74 t DM/ha)</t>
  </si>
  <si>
    <t>Monthly cuts ( % of 6.14 t DM/ha)</t>
  </si>
  <si>
    <t>Grazing yield (% of 10.21 t DM/ha)</t>
  </si>
  <si>
    <t>Early grazing yield (% of 1.16 t DM/ha)</t>
  </si>
  <si>
    <t>Spring (% of 2.15 t DM/ha)</t>
  </si>
  <si>
    <t>Autumn (% of 1.23 t DM/ha)</t>
  </si>
  <si>
    <t>Total yield year 1 (% of 15.06 t DM/ha)</t>
  </si>
  <si>
    <t>Total yield year 3 (% of 12.49 t DM/ha)</t>
  </si>
  <si>
    <t>1st cut (% of 6.10 t DM/ha)</t>
  </si>
  <si>
    <t>2nd cut (% of 3.73 t DM/ha)</t>
  </si>
  <si>
    <t>3rd cut (% of 2.76 t DM/ha)</t>
  </si>
  <si>
    <t>4th+ cut (% of 2.47 t DM/ha)</t>
  </si>
  <si>
    <t>Total Clover yield (% of 4.80 t DM/ha) #</t>
  </si>
  <si>
    <t xml:space="preserve">Total yield 1st harvest year  (% of 12.34 t DM/ha) </t>
  </si>
  <si>
    <t>Total yield 2nd harvest year (% of 13.07 t DM/ha)</t>
  </si>
  <si>
    <t>Total yield 3rd harvest year (% of 9.73 t DM/ha)</t>
  </si>
  <si>
    <t>Total yield 1st harvest year (% of 12.42 t DM/ha)</t>
  </si>
  <si>
    <t>Total yield 2nd harvest year (% of 15.45 t DM/ha)</t>
  </si>
  <si>
    <t>Total yield 1st harvest year (% of 15.68 t DM/ha)</t>
  </si>
  <si>
    <t>Total yield 2nd harvest year (% of 15.11 t DM/ha)</t>
  </si>
  <si>
    <t>1st cut (% of 4.77 t DM/ha)</t>
  </si>
  <si>
    <t>2nd cut (% of 3.16 t DM/ha)</t>
  </si>
  <si>
    <t>3rd cut (% of 3.06 t DM/ha)</t>
  </si>
  <si>
    <t>4th+ cut (% of 4.68 t DM/ha)</t>
  </si>
  <si>
    <t>INT. Tetraploid
mean (G's only)</t>
  </si>
  <si>
    <t>Total yield: mean (% of 15.35 t DM/ha)</t>
  </si>
  <si>
    <t>Late Diploid            
mean (G's only)</t>
  </si>
  <si>
    <t>Late Tetraploid         mean (G's only)</t>
  </si>
  <si>
    <t>Diploid mean</t>
  </si>
  <si>
    <t>Total yield: mean (% of 16.53 t DM/ha)</t>
  </si>
  <si>
    <t>Tetraploid mean</t>
  </si>
  <si>
    <t>Diploid mean              (= Barsilo)</t>
  </si>
  <si>
    <t>Diploid 
mean</t>
  </si>
  <si>
    <t>Tetraploid 
mean</t>
  </si>
  <si>
    <t>Total yield: mean (% of 15.16 t DM/ha)</t>
  </si>
  <si>
    <t>Total yield: mean (% of 13.83 t DM/ha)</t>
  </si>
  <si>
    <t>Total yield: mean                 (% of 11.91 t DM/ha)</t>
  </si>
  <si>
    <t>Total yield: mean              (% of 13.85 t DM/ha)</t>
  </si>
  <si>
    <t>Total yield: mean                    (% of 15.41 t DM/ha)</t>
  </si>
  <si>
    <t>ME Yield (% of 122 000 MJ/ha)</t>
  </si>
  <si>
    <t>1st and 2nd cut ME yield, first harvest year                             (% of 132 000 MJ/ha)</t>
  </si>
  <si>
    <t>1st and 2nd cut ME yield, first harvest year                       (% of 121 000 MJ/ha)</t>
  </si>
  <si>
    <t>1st and 2nd cut ME yield, first harvest year                       (% of 120 000 MJ/ha)</t>
  </si>
  <si>
    <t>ME yield of 1st+2nd cut year 1 (% of 101 000 MJ/ha)</t>
  </si>
  <si>
    <t>Early summer (% of 3.78 t DM/ha)</t>
  </si>
  <si>
    <t>Late summer (% of 2.46 t DM/ha)</t>
  </si>
  <si>
    <t>Early summer (% of 3.99 t DM/ha)</t>
  </si>
  <si>
    <t>Late summer (% of 2.84 t DM/ha)</t>
  </si>
  <si>
    <t>Ground cover% (1st harvest year)</t>
  </si>
  <si>
    <t>Ground cover (1-9, 9=good)</t>
  </si>
  <si>
    <t>D-values are expressed as D-value minus 65.</t>
  </si>
  <si>
    <t>General Use</t>
  </si>
  <si>
    <t>Recommended for Specific Use</t>
  </si>
  <si>
    <t>Provisional General Use Recommendation</t>
  </si>
  <si>
    <t>Provisional Specific Use Recommendation</t>
  </si>
  <si>
    <t xml:space="preserve"> </t>
  </si>
  <si>
    <t>Year of sowing (% of 2.08 t DM/ha)</t>
  </si>
  <si>
    <t>Total Annual Yields</t>
  </si>
  <si>
    <t>Ryegrass mosaic virus (1-9, 1=poor 9=good)</t>
  </si>
  <si>
    <t>Mildew (1-9, 1=poor 9=good)</t>
  </si>
  <si>
    <t>Brown Rust (1-9, 1=poor 9=good)</t>
  </si>
  <si>
    <t>Crown Rust (1-9, 1=poor 9=good)</t>
  </si>
  <si>
    <t>Winter hardiness (1-9, 1=poor 9=good)</t>
  </si>
  <si>
    <t>Year of sowing</t>
  </si>
  <si>
    <t>Year of sowing (% of 1.84 t DM/ha)</t>
  </si>
  <si>
    <t>ME yield (% of 119 000 MJ/ha)</t>
  </si>
  <si>
    <r>
      <t>Leaf Area (length×breadth mm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) </t>
    </r>
  </si>
  <si>
    <t>Light Defoliation (Cutting or rotational cattle grazing)</t>
  </si>
  <si>
    <t>Total yield: grass + Clover (% of 10.92 t DM/ha) #</t>
  </si>
  <si>
    <t>Clover yield: first cut (% of 0.62 t DM/ha) #</t>
  </si>
  <si>
    <t>Clover yield: last cut (% of 0.50 t DM/ha) #</t>
  </si>
  <si>
    <t>Yield of grass + Clover (% of 10.62 t DM/ha) #</t>
  </si>
  <si>
    <t>Clover yield: first cut (% of 0.60 t DM/ha) #</t>
  </si>
  <si>
    <t>Clover yield: last cut (% of 0.41 t DM/ha) #</t>
  </si>
  <si>
    <t xml:space="preserve">Autumn ground cover </t>
  </si>
  <si>
    <t xml:space="preserve">Spring ground cover  </t>
  </si>
  <si>
    <t>Number of trials for Clover yields</t>
  </si>
  <si>
    <t>1st cut (% of 5.06 t DM/ha)</t>
  </si>
  <si>
    <t>Protein content%: 1st Cut</t>
  </si>
  <si>
    <t>Seasonal Growth (1st harvest year)</t>
  </si>
  <si>
    <t>1st cut (% of 4.63 t DM/ha)</t>
  </si>
  <si>
    <t>Seasonal growth (1st harvest year)</t>
  </si>
  <si>
    <t xml:space="preserve">3rd harvest year </t>
  </si>
  <si>
    <t>SeasonaL Growth (1st harvest year)</t>
  </si>
  <si>
    <t xml:space="preserve">Conservation management </t>
  </si>
  <si>
    <t>Yield of Clover (% of 4.25 t DM/ha) #</t>
  </si>
  <si>
    <t xml:space="preserve">Yields are expressed as a percentage of the mean of all fully recommended white Clover varieties in trials. </t>
  </si>
  <si>
    <t>(</t>
  </si>
  <si>
    <t>Mean of  G 
varieties</t>
  </si>
  <si>
    <t>Breeder</t>
  </si>
  <si>
    <t xml:space="preserve">Agent </t>
  </si>
  <si>
    <t>Teagasc, Eire</t>
  </si>
  <si>
    <t>DLF Seeds Ltd</t>
  </si>
  <si>
    <t>AFBI, UK</t>
  </si>
  <si>
    <t>Barenbrug UK Ltd</t>
  </si>
  <si>
    <t>R2n, France</t>
  </si>
  <si>
    <t>RAGT Seeds Ltd</t>
  </si>
  <si>
    <t>IBERS, Aberystwyth</t>
  </si>
  <si>
    <t>Germinal</t>
  </si>
  <si>
    <t>DLF Seeds A/S</t>
  </si>
  <si>
    <t>DSV, UK</t>
  </si>
  <si>
    <t>DSV</t>
  </si>
  <si>
    <t>Limagrain UK</t>
  </si>
  <si>
    <t>Limagrain UK Ltd</t>
  </si>
  <si>
    <t>Goldcrop Ltd</t>
  </si>
  <si>
    <t>Innoseeds NL</t>
  </si>
  <si>
    <t>Teagasc</t>
  </si>
  <si>
    <t>GIE Grass</t>
  </si>
  <si>
    <t>Semences de France</t>
  </si>
  <si>
    <t>CPB Twyford</t>
  </si>
  <si>
    <t>DSV, France</t>
  </si>
  <si>
    <t>ILVO/DSV</t>
  </si>
  <si>
    <t>ILVO</t>
  </si>
  <si>
    <t>Force Limagrain</t>
  </si>
  <si>
    <t>Innoseeds, NL</t>
  </si>
  <si>
    <t>DSV, Netherlands</t>
  </si>
  <si>
    <t>DSV, Germany</t>
  </si>
  <si>
    <t>Barenbrug, NL</t>
  </si>
  <si>
    <t>Steinach, Germany / DSV</t>
  </si>
  <si>
    <t>Barenburg, NL</t>
  </si>
  <si>
    <t>Barenburg UK Ltd</t>
  </si>
  <si>
    <t>Nord. Pflan/DSV</t>
  </si>
  <si>
    <t>INRA</t>
  </si>
  <si>
    <t>Slechtitelskà stanice, The Czech Republic</t>
  </si>
  <si>
    <t>LSPB</t>
  </si>
  <si>
    <t>Limagrain</t>
  </si>
  <si>
    <t>AberSirius</t>
  </si>
  <si>
    <t>AgResearch Ltd (New Zealand)</t>
  </si>
  <si>
    <t>Pinaco</t>
  </si>
  <si>
    <t>[91]</t>
  </si>
  <si>
    <t>DLF Seeds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</si>
</sst>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d\-mmm"/>
    <numFmt numFmtId="165" formatCode="0.0"/>
    <numFmt numFmtId="166" formatCode="0.000"/>
    <numFmt numFmtId="167" formatCode="0.00000"/>
    <numFmt numFmtId="168" formatCode="0.000000000000000000000000"/>
    <numFmt numFmtId="169" formatCode="0.0000"/>
    <numFmt numFmtId="170" formatCode="d\ mmm"/>
  </numFmts>
  <fonts count="4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b/>
      <vertAlign val="superscript"/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995">
    <xf numFmtId="0" fontId="0" fillId="0" borderId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19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20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21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6" fillId="6" borderId="138" applyNumberFormat="0" applyAlignment="0" applyProtection="0"/>
    <xf numFmtId="0" fontId="37" fillId="22" borderId="139" applyNumberFormat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23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23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23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24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24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24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25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5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5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40" fillId="6" borderId="138" applyNumberFormat="0" applyAlignment="0" applyProtection="0"/>
    <xf numFmtId="0" fontId="26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6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6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15" fillId="24" borderId="140" applyNumberFormat="0" applyFon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42" fillId="6" borderId="141" applyNumberFormat="0" applyAlignment="0" applyProtection="0"/>
    <xf numFmtId="0" fontId="7" fillId="0" borderId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4" fillId="0" borderId="0" applyNumberFormat="0" applyFill="0" applyBorder="0" applyAlignment="0" applyProtection="0"/>
  </cellStyleXfs>
  <cellXfs count="1335">
    <xf numFmtId="0" fontId="0" fillId="0" borderId="0" xfId="0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textRotation="90"/>
      <protection hidden="1"/>
    </xf>
    <xf numFmtId="0" fontId="4" fillId="0" borderId="0" xfId="0" applyNumberFormat="1" applyFont="1" applyFill="1" applyBorder="1" applyAlignment="1" applyProtection="1">
      <alignment horizontal="center" textRotation="90" wrapText="1"/>
      <protection hidden="1"/>
    </xf>
    <xf numFmtId="0" fontId="3" fillId="0" borderId="9" xfId="0" applyNumberFormat="1" applyFont="1" applyFill="1" applyBorder="1" applyAlignment="1" applyProtection="1">
      <alignment horizontal="center" textRotation="90"/>
      <protection hidden="1"/>
    </xf>
    <xf numFmtId="0" fontId="0" fillId="0" borderId="0" xfId="0" applyFill="1" applyBorder="1"/>
    <xf numFmtId="1" fontId="3" fillId="0" borderId="6" xfId="0" applyNumberFormat="1" applyFont="1" applyFill="1" applyBorder="1" applyAlignment="1" applyProtection="1">
      <alignment horizontal="center"/>
      <protection hidden="1"/>
    </xf>
    <xf numFmtId="0" fontId="0" fillId="0" borderId="0" xfId="0" applyFill="1"/>
    <xf numFmtId="0" fontId="4" fillId="0" borderId="0" xfId="0" applyFont="1" applyFill="1" applyBorder="1"/>
    <xf numFmtId="0" fontId="1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3" fillId="0" borderId="0" xfId="0" applyNumberFormat="1" applyFont="1" applyFill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3" fillId="0" borderId="17" xfId="0" applyNumberFormat="1" applyFont="1" applyFill="1" applyBorder="1" applyAlignment="1" applyProtection="1">
      <alignment horizontal="center"/>
      <protection hidden="1"/>
    </xf>
    <xf numFmtId="1" fontId="3" fillId="0" borderId="14" xfId="0" applyNumberFormat="1" applyFont="1" applyFill="1" applyBorder="1" applyAlignment="1" applyProtection="1">
      <alignment horizontal="center"/>
      <protection hidden="1"/>
    </xf>
    <xf numFmtId="165" fontId="3" fillId="0" borderId="18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/>
    <xf numFmtId="0" fontId="3" fillId="0" borderId="0" xfId="0" applyFont="1" applyFill="1" applyBorder="1"/>
    <xf numFmtId="0" fontId="3" fillId="0" borderId="9" xfId="0" applyNumberFormat="1" applyFont="1" applyFill="1" applyBorder="1" applyAlignment="1" applyProtection="1">
      <alignment horizontal="center" textRotation="90"/>
    </xf>
    <xf numFmtId="0" fontId="3" fillId="0" borderId="10" xfId="0" applyNumberFormat="1" applyFont="1" applyFill="1" applyBorder="1" applyAlignment="1" applyProtection="1">
      <alignment horizontal="center" textRotation="90"/>
    </xf>
    <xf numFmtId="0" fontId="3" fillId="0" borderId="23" xfId="0" applyNumberFormat="1" applyFont="1" applyFill="1" applyBorder="1" applyAlignment="1" applyProtection="1">
      <alignment horizontal="center" textRotation="90"/>
      <protection hidden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164" fontId="3" fillId="0" borderId="17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>
      <alignment vertical="center"/>
    </xf>
    <xf numFmtId="164" fontId="3" fillId="0" borderId="26" xfId="0" applyNumberFormat="1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/>
    <xf numFmtId="0" fontId="3" fillId="0" borderId="27" xfId="0" quotePrefix="1" applyNumberFormat="1" applyFont="1" applyFill="1" applyBorder="1" applyAlignment="1" applyProtection="1">
      <alignment horizontal="center"/>
      <protection hidden="1"/>
    </xf>
    <xf numFmtId="1" fontId="3" fillId="0" borderId="27" xfId="0" quotePrefix="1" applyNumberFormat="1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4" fillId="0" borderId="30" xfId="0" applyNumberFormat="1" applyFont="1" applyFill="1" applyBorder="1" applyAlignment="1" applyProtection="1">
      <alignment horizontal="right" vertical="center"/>
      <protection hidden="1"/>
    </xf>
    <xf numFmtId="0" fontId="12" fillId="0" borderId="0" xfId="0" applyNumberFormat="1" applyFont="1" applyFill="1" applyBorder="1" applyAlignment="1" applyProtection="1">
      <alignment horizontal="center"/>
      <protection locked="0" hidden="1"/>
    </xf>
    <xf numFmtId="1" fontId="3" fillId="0" borderId="18" xfId="0" applyNumberFormat="1" applyFont="1" applyFill="1" applyBorder="1" applyAlignment="1" applyProtection="1">
      <alignment horizontal="center"/>
      <protection hidden="1"/>
    </xf>
    <xf numFmtId="0" fontId="3" fillId="0" borderId="31" xfId="0" applyNumberFormat="1" applyFont="1" applyFill="1" applyBorder="1" applyAlignment="1" applyProtection="1">
      <alignment horizontal="center" vertical="center"/>
      <protection hidden="1"/>
    </xf>
    <xf numFmtId="165" fontId="3" fillId="0" borderId="14" xfId="0" applyNumberFormat="1" applyFont="1" applyFill="1" applyBorder="1" applyAlignment="1" applyProtection="1">
      <alignment horizontal="center"/>
      <protection hidden="1"/>
    </xf>
    <xf numFmtId="1" fontId="3" fillId="0" borderId="13" xfId="0" applyNumberFormat="1" applyFont="1" applyFill="1" applyBorder="1" applyAlignment="1" applyProtection="1">
      <alignment horizontal="center"/>
      <protection hidden="1"/>
    </xf>
    <xf numFmtId="1" fontId="3" fillId="0" borderId="34" xfId="0" applyNumberFormat="1" applyFont="1" applyFill="1" applyBorder="1" applyAlignment="1" applyProtection="1">
      <alignment horizontal="center"/>
      <protection hidden="1"/>
    </xf>
    <xf numFmtId="0" fontId="3" fillId="0" borderId="34" xfId="0" applyNumberFormat="1" applyFont="1" applyFill="1" applyBorder="1" applyAlignment="1" applyProtection="1">
      <alignment horizontal="center"/>
      <protection hidden="1"/>
    </xf>
    <xf numFmtId="0" fontId="3" fillId="0" borderId="33" xfId="0" quotePrefix="1" applyNumberFormat="1" applyFont="1" applyFill="1" applyBorder="1" applyAlignment="1" applyProtection="1">
      <alignment horizontal="center"/>
      <protection hidden="1"/>
    </xf>
    <xf numFmtId="165" fontId="3" fillId="0" borderId="6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Protection="1">
      <protection hidden="1"/>
    </xf>
    <xf numFmtId="0" fontId="2" fillId="0" borderId="0" xfId="0" applyFont="1" applyFill="1" applyBorder="1" applyProtection="1">
      <protection locked="0"/>
    </xf>
    <xf numFmtId="0" fontId="4" fillId="0" borderId="36" xfId="0" applyFont="1" applyFill="1" applyBorder="1" applyAlignment="1" applyProtection="1">
      <alignment horizontal="right" vertical="center"/>
      <protection locked="0" hidden="1"/>
    </xf>
    <xf numFmtId="0" fontId="3" fillId="0" borderId="6" xfId="0" applyNumberFormat="1" applyFont="1" applyFill="1" applyBorder="1" applyAlignment="1" applyProtection="1">
      <alignment horizontal="center"/>
      <protection hidden="1"/>
    </xf>
    <xf numFmtId="0" fontId="28" fillId="0" borderId="0" xfId="0" applyFont="1" applyFill="1" applyBorder="1"/>
    <xf numFmtId="164" fontId="3" fillId="0" borderId="35" xfId="0" applyNumberFormat="1" applyFont="1" applyFill="1" applyBorder="1" applyAlignment="1" applyProtection="1">
      <alignment horizontal="center" vertical="center"/>
      <protection hidden="1"/>
    </xf>
    <xf numFmtId="165" fontId="4" fillId="0" borderId="36" xfId="0" applyNumberFormat="1" applyFont="1" applyFill="1" applyBorder="1" applyAlignment="1" applyProtection="1"/>
    <xf numFmtId="0" fontId="3" fillId="0" borderId="11" xfId="0" applyFont="1" applyFill="1" applyBorder="1" applyAlignment="1" applyProtection="1"/>
    <xf numFmtId="1" fontId="4" fillId="0" borderId="36" xfId="0" applyNumberFormat="1" applyFont="1" applyFill="1" applyBorder="1" applyAlignment="1" applyProtection="1">
      <alignment horizontal="right"/>
      <protection hidden="1"/>
    </xf>
    <xf numFmtId="0" fontId="4" fillId="0" borderId="12" xfId="0" applyFont="1" applyFill="1" applyBorder="1" applyAlignment="1">
      <alignment horizontal="center" textRotation="90" wrapText="1"/>
    </xf>
    <xf numFmtId="0" fontId="3" fillId="0" borderId="27" xfId="0" quotePrefix="1" applyNumberFormat="1" applyFont="1" applyFill="1" applyBorder="1" applyAlignment="1" applyProtection="1">
      <alignment horizontal="center" vertical="center"/>
      <protection locked="0" hidden="1"/>
    </xf>
    <xf numFmtId="0" fontId="3" fillId="0" borderId="27" xfId="0" quotePrefix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Alignment="1" applyProtection="1">
      <protection hidden="1"/>
    </xf>
    <xf numFmtId="1" fontId="3" fillId="0" borderId="17" xfId="0" applyNumberFormat="1" applyFont="1" applyFill="1" applyBorder="1" applyAlignment="1" applyProtection="1">
      <alignment horizontal="center" vertical="center"/>
      <protection hidden="1"/>
    </xf>
    <xf numFmtId="1" fontId="3" fillId="0" borderId="34" xfId="0" applyNumberFormat="1" applyFont="1" applyFill="1" applyBorder="1" applyAlignment="1" applyProtection="1">
      <alignment horizontal="center" vertical="center"/>
      <protection hidden="1"/>
    </xf>
    <xf numFmtId="1" fontId="3" fillId="0" borderId="27" xfId="0" quotePrefix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Protection="1">
      <protection locked="0" hidden="1"/>
    </xf>
    <xf numFmtId="0" fontId="7" fillId="0" borderId="0" xfId="0" applyNumberFormat="1" applyFont="1" applyFill="1" applyAlignment="1" applyProtection="1">
      <alignment horizontal="center"/>
      <protection locked="0" hidden="1"/>
    </xf>
    <xf numFmtId="0" fontId="7" fillId="0" borderId="0" xfId="0" applyFont="1" applyFill="1"/>
    <xf numFmtId="0" fontId="7" fillId="0" borderId="0" xfId="0" applyFont="1" applyFill="1" applyBorder="1"/>
    <xf numFmtId="0" fontId="2" fillId="0" borderId="0" xfId="0" applyFont="1" applyFill="1" applyProtection="1">
      <protection hidden="1"/>
    </xf>
    <xf numFmtId="0" fontId="8" fillId="0" borderId="0" xfId="0" applyFont="1" applyFill="1" applyAlignment="1" applyProtection="1">
      <alignment vertical="top"/>
      <protection locked="0" hidden="1"/>
    </xf>
    <xf numFmtId="0" fontId="8" fillId="0" borderId="0" xfId="0" applyNumberFormat="1" applyFont="1" applyFill="1" applyAlignment="1" applyProtection="1">
      <alignment horizontal="center"/>
      <protection locked="0" hidden="1"/>
    </xf>
    <xf numFmtId="0" fontId="3" fillId="0" borderId="12" xfId="0" applyNumberFormat="1" applyFont="1" applyFill="1" applyBorder="1" applyAlignment="1" applyProtection="1">
      <alignment horizontal="center"/>
      <protection locked="0" hidden="1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35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42" xfId="0" applyNumberFormat="1" applyFont="1" applyFill="1" applyBorder="1" applyAlignment="1" applyProtection="1">
      <alignment horizontal="center" vertical="center" wrapText="1"/>
    </xf>
    <xf numFmtId="0" fontId="3" fillId="0" borderId="43" xfId="0" applyNumberFormat="1" applyFont="1" applyFill="1" applyBorder="1" applyAlignment="1" applyProtection="1">
      <alignment horizontal="center" vertical="center" wrapText="1"/>
    </xf>
    <xf numFmtId="0" fontId="3" fillId="0" borderId="4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  <protection locked="0" hidden="1"/>
    </xf>
    <xf numFmtId="0" fontId="11" fillId="0" borderId="34" xfId="0" applyNumberFormat="1" applyFont="1" applyFill="1" applyBorder="1" applyAlignment="1" applyProtection="1">
      <alignment horizontal="center"/>
      <protection locked="0" hidden="1"/>
    </xf>
    <xf numFmtId="0" fontId="11" fillId="0" borderId="0" xfId="0" applyFont="1" applyFill="1" applyBorder="1"/>
    <xf numFmtId="0" fontId="1" fillId="0" borderId="29" xfId="0" applyFont="1" applyFill="1" applyBorder="1"/>
    <xf numFmtId="0" fontId="3" fillId="0" borderId="46" xfId="0" applyFont="1" applyFill="1" applyBorder="1" applyProtection="1"/>
    <xf numFmtId="165" fontId="4" fillId="0" borderId="36" xfId="0" applyNumberFormat="1" applyFont="1" applyFill="1" applyBorder="1" applyProtection="1"/>
    <xf numFmtId="0" fontId="3" fillId="0" borderId="49" xfId="0" applyFont="1" applyFill="1" applyBorder="1" applyProtection="1"/>
    <xf numFmtId="164" fontId="3" fillId="0" borderId="31" xfId="0" applyNumberFormat="1" applyFont="1" applyFill="1" applyBorder="1" applyAlignment="1" applyProtection="1">
      <alignment horizontal="center" vertical="center"/>
      <protection hidden="1"/>
    </xf>
    <xf numFmtId="164" fontId="3" fillId="0" borderId="38" xfId="0" applyNumberFormat="1" applyFont="1" applyFill="1" applyBorder="1" applyAlignment="1" applyProtection="1">
      <alignment horizontal="center" vertical="center"/>
      <protection hidden="1"/>
    </xf>
    <xf numFmtId="0" fontId="3" fillId="0" borderId="40" xfId="0" applyNumberFormat="1" applyFont="1" applyFill="1" applyBorder="1" applyAlignment="1" applyProtection="1">
      <alignment horizontal="center" textRotation="90"/>
      <protection hidden="1"/>
    </xf>
    <xf numFmtId="0" fontId="3" fillId="0" borderId="39" xfId="0" quotePrefix="1" applyNumberFormat="1" applyFont="1" applyFill="1" applyBorder="1" applyAlignment="1" applyProtection="1">
      <alignment horizontal="center" vertical="center" wrapText="1"/>
    </xf>
    <xf numFmtId="1" fontId="3" fillId="0" borderId="27" xfId="0" applyNumberFormat="1" applyFont="1" applyFill="1" applyBorder="1" applyAlignment="1" applyProtection="1">
      <alignment horizontal="center"/>
      <protection locked="0" hidden="1"/>
    </xf>
    <xf numFmtId="0" fontId="4" fillId="0" borderId="27" xfId="0" applyFont="1" applyFill="1" applyBorder="1" applyAlignment="1">
      <alignment horizontal="center" textRotation="90" wrapText="1"/>
    </xf>
    <xf numFmtId="0" fontId="11" fillId="0" borderId="27" xfId="0" applyNumberFormat="1" applyFont="1" applyFill="1" applyBorder="1" applyAlignment="1" applyProtection="1">
      <alignment horizontal="center"/>
      <protection locked="0" hidden="1"/>
    </xf>
    <xf numFmtId="1" fontId="3" fillId="0" borderId="35" xfId="0" applyNumberFormat="1" applyFont="1" applyFill="1" applyBorder="1" applyAlignment="1" applyProtection="1">
      <alignment horizontal="center" vertical="center"/>
      <protection hidden="1"/>
    </xf>
    <xf numFmtId="0" fontId="4" fillId="0" borderId="48" xfId="0" quotePrefix="1" applyFont="1" applyFill="1" applyBorder="1" applyAlignment="1" applyProtection="1">
      <alignment horizontal="center" vertical="center"/>
      <protection locked="0" hidden="1"/>
    </xf>
    <xf numFmtId="1" fontId="3" fillId="0" borderId="37" xfId="0" applyNumberFormat="1" applyFont="1" applyFill="1" applyBorder="1" applyProtection="1"/>
    <xf numFmtId="0" fontId="4" fillId="0" borderId="51" xfId="0" applyFont="1" applyFill="1" applyBorder="1" applyAlignment="1">
      <alignment horizontal="center" textRotation="90" wrapText="1"/>
    </xf>
    <xf numFmtId="164" fontId="3" fillId="0" borderId="36" xfId="0" quotePrefix="1" applyNumberFormat="1" applyFont="1" applyFill="1" applyBorder="1" applyAlignment="1" applyProtection="1">
      <alignment horizontal="center" vertical="center"/>
      <protection hidden="1"/>
    </xf>
    <xf numFmtId="1" fontId="3" fillId="0" borderId="36" xfId="0" applyNumberFormat="1" applyFont="1" applyFill="1" applyBorder="1" applyAlignment="1" applyProtection="1">
      <alignment horizontal="center"/>
      <protection locked="0" hidden="1"/>
    </xf>
    <xf numFmtId="0" fontId="4" fillId="0" borderId="0" xfId="0" applyFont="1" applyFill="1" applyBorder="1" applyAlignment="1">
      <alignment horizontal="center"/>
    </xf>
    <xf numFmtId="164" fontId="3" fillId="0" borderId="55" xfId="0" applyNumberFormat="1" applyFont="1" applyFill="1" applyBorder="1" applyAlignment="1" applyProtection="1">
      <alignment horizontal="center" vertical="center"/>
      <protection hidden="1"/>
    </xf>
    <xf numFmtId="0" fontId="3" fillId="0" borderId="34" xfId="0" quotePrefix="1" applyNumberFormat="1" applyFont="1" applyFill="1" applyBorder="1" applyAlignment="1" applyProtection="1">
      <alignment horizontal="center" vertical="center"/>
    </xf>
    <xf numFmtId="168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locked="0" hidden="1"/>
    </xf>
    <xf numFmtId="0" fontId="0" fillId="0" borderId="7" xfId="0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center"/>
      <protection locked="0" hidden="1"/>
    </xf>
    <xf numFmtId="0" fontId="7" fillId="0" borderId="0" xfId="0" applyFont="1" applyFill="1" applyProtection="1">
      <protection hidden="1"/>
    </xf>
    <xf numFmtId="164" fontId="3" fillId="0" borderId="41" xfId="0" applyNumberFormat="1" applyFont="1" applyFill="1" applyBorder="1" applyAlignment="1" applyProtection="1">
      <alignment horizontal="center" vertical="center"/>
      <protection hidden="1"/>
    </xf>
    <xf numFmtId="0" fontId="4" fillId="0" borderId="41" xfId="0" applyFont="1" applyFill="1" applyBorder="1" applyAlignment="1">
      <alignment horizontal="center" textRotation="90" wrapText="1"/>
    </xf>
    <xf numFmtId="1" fontId="3" fillId="0" borderId="58" xfId="0" applyNumberFormat="1" applyFont="1" applyFill="1" applyBorder="1" applyAlignment="1" applyProtection="1">
      <alignment horizontal="center" vertical="center"/>
      <protection hidden="1"/>
    </xf>
    <xf numFmtId="1" fontId="3" fillId="0" borderId="14" xfId="0" applyNumberFormat="1" applyFont="1" applyFill="1" applyBorder="1" applyAlignment="1" applyProtection="1">
      <alignment horizontal="center" vertical="center"/>
      <protection hidden="1"/>
    </xf>
    <xf numFmtId="1" fontId="3" fillId="0" borderId="28" xfId="0" applyNumberFormat="1" applyFont="1" applyFill="1" applyBorder="1" applyAlignment="1" applyProtection="1">
      <alignment horizontal="center" vertical="center"/>
      <protection hidden="1"/>
    </xf>
    <xf numFmtId="0" fontId="3" fillId="0" borderId="35" xfId="0" applyNumberFormat="1" applyFont="1" applyFill="1" applyBorder="1" applyAlignment="1" applyProtection="1">
      <alignment horizontal="center" vertical="center"/>
      <protection hidden="1"/>
    </xf>
    <xf numFmtId="0" fontId="3" fillId="0" borderId="17" xfId="0" applyNumberFormat="1" applyFont="1" applyFill="1" applyBorder="1" applyAlignment="1" applyProtection="1">
      <alignment horizontal="center" vertical="center"/>
      <protection hidden="1"/>
    </xf>
    <xf numFmtId="0" fontId="3" fillId="0" borderId="17" xfId="0" quotePrefix="1" applyNumberFormat="1" applyFont="1" applyFill="1" applyBorder="1" applyAlignment="1" applyProtection="1">
      <alignment horizontal="center" vertical="center"/>
      <protection hidden="1"/>
    </xf>
    <xf numFmtId="0" fontId="3" fillId="0" borderId="34" xfId="0" quotePrefix="1" applyNumberFormat="1" applyFont="1" applyFill="1" applyBorder="1" applyAlignment="1" applyProtection="1">
      <alignment horizontal="center" vertical="center"/>
      <protection hidden="1"/>
    </xf>
    <xf numFmtId="0" fontId="4" fillId="0" borderId="34" xfId="0" applyNumberFormat="1" applyFont="1" applyFill="1" applyBorder="1" applyAlignment="1" applyProtection="1">
      <alignment horizontal="center" vertical="center"/>
      <protection hidden="1"/>
    </xf>
    <xf numFmtId="1" fontId="3" fillId="0" borderId="59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 applyProtection="1">
      <alignment horizontal="center" vertical="center"/>
      <protection hidden="1"/>
    </xf>
    <xf numFmtId="1" fontId="3" fillId="0" borderId="59" xfId="0" applyNumberFormat="1" applyFont="1" applyFill="1" applyBorder="1" applyAlignment="1" applyProtection="1">
      <alignment horizontal="center" vertical="center"/>
      <protection hidden="1"/>
    </xf>
    <xf numFmtId="1" fontId="3" fillId="0" borderId="60" xfId="0" applyNumberFormat="1" applyFont="1" applyFill="1" applyBorder="1" applyAlignment="1" applyProtection="1">
      <alignment horizontal="center" vertical="center"/>
      <protection hidden="1"/>
    </xf>
    <xf numFmtId="1" fontId="3" fillId="0" borderId="58" xfId="0" applyNumberFormat="1" applyFont="1" applyFill="1" applyBorder="1" applyAlignment="1">
      <alignment horizontal="center" vertical="center"/>
    </xf>
    <xf numFmtId="1" fontId="3" fillId="0" borderId="58" xfId="0" quotePrefix="1" applyNumberFormat="1" applyFont="1" applyFill="1" applyBorder="1" applyAlignment="1" applyProtection="1">
      <alignment horizontal="center" vertical="center"/>
      <protection hidden="1"/>
    </xf>
    <xf numFmtId="1" fontId="1" fillId="0" borderId="13" xfId="0" applyNumberFormat="1" applyFont="1" applyFill="1" applyBorder="1" applyAlignment="1" applyProtection="1">
      <alignment horizontal="center" vertical="center"/>
      <protection hidden="1"/>
    </xf>
    <xf numFmtId="1" fontId="1" fillId="0" borderId="59" xfId="0" applyNumberFormat="1" applyFont="1" applyFill="1" applyBorder="1" applyAlignment="1" applyProtection="1">
      <alignment horizontal="center" vertical="center"/>
      <protection hidden="1"/>
    </xf>
    <xf numFmtId="1" fontId="1" fillId="0" borderId="58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 applyProtection="1">
      <alignment horizontal="center" vertical="center"/>
      <protection hidden="1"/>
    </xf>
    <xf numFmtId="1" fontId="1" fillId="0" borderId="58" xfId="0" applyNumberFormat="1" applyFont="1" applyFill="1" applyBorder="1" applyAlignment="1" applyProtection="1">
      <alignment horizontal="center" vertical="center"/>
      <protection hidden="1"/>
    </xf>
    <xf numFmtId="0" fontId="1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15" xfId="0" applyNumberFormat="1" applyFont="1" applyFill="1" applyBorder="1" applyAlignment="1" applyProtection="1">
      <alignment horizontal="center" vertical="center"/>
      <protection hidden="1"/>
    </xf>
    <xf numFmtId="0" fontId="3" fillId="0" borderId="59" xfId="0" applyNumberFormat="1" applyFont="1" applyFill="1" applyBorder="1" applyAlignment="1" applyProtection="1">
      <alignment horizontal="center" vertical="center"/>
      <protection hidden="1"/>
    </xf>
    <xf numFmtId="0" fontId="3" fillId="0" borderId="13" xfId="0" applyNumberFormat="1" applyFont="1" applyFill="1" applyBorder="1" applyAlignment="1" applyProtection="1">
      <alignment horizontal="center" vertical="center"/>
      <protection hidden="1"/>
    </xf>
    <xf numFmtId="0" fontId="4" fillId="0" borderId="36" xfId="0" applyFont="1" applyFill="1" applyBorder="1" applyProtection="1">
      <protection hidden="1"/>
    </xf>
    <xf numFmtId="0" fontId="3" fillId="0" borderId="36" xfId="0" applyFont="1" applyFill="1" applyBorder="1" applyProtection="1">
      <protection hidden="1"/>
    </xf>
    <xf numFmtId="0" fontId="3" fillId="0" borderId="45" xfId="0" applyFont="1" applyFill="1" applyBorder="1" applyProtection="1">
      <protection hidden="1"/>
    </xf>
    <xf numFmtId="0" fontId="3" fillId="0" borderId="27" xfId="0" applyNumberFormat="1" applyFont="1" applyFill="1" applyBorder="1" applyAlignment="1" applyProtection="1">
      <alignment horizontal="center"/>
      <protection hidden="1"/>
    </xf>
    <xf numFmtId="165" fontId="3" fillId="0" borderId="37" xfId="0" applyNumberFormat="1" applyFont="1" applyFill="1" applyBorder="1" applyProtection="1">
      <protection hidden="1"/>
    </xf>
    <xf numFmtId="0" fontId="9" fillId="0" borderId="11" xfId="0" applyFont="1" applyFill="1" applyBorder="1" applyAlignment="1" applyProtection="1">
      <protection hidden="1"/>
    </xf>
    <xf numFmtId="0" fontId="3" fillId="0" borderId="48" xfId="0" applyNumberFormat="1" applyFont="1" applyFill="1" applyBorder="1" applyAlignment="1" applyProtection="1">
      <alignment horizontal="center"/>
      <protection hidden="1"/>
    </xf>
    <xf numFmtId="0" fontId="4" fillId="0" borderId="36" xfId="0" applyFont="1" applyFill="1" applyBorder="1" applyAlignment="1" applyProtection="1">
      <alignment horizontal="right"/>
      <protection hidden="1"/>
    </xf>
    <xf numFmtId="1" fontId="0" fillId="0" borderId="0" xfId="0" applyNumberFormat="1" applyFill="1" applyAlignment="1">
      <alignment horizontal="left"/>
    </xf>
    <xf numFmtId="0" fontId="3" fillId="0" borderId="37" xfId="0" applyFont="1" applyFill="1" applyBorder="1" applyProtection="1">
      <protection hidden="1"/>
    </xf>
    <xf numFmtId="165" fontId="3" fillId="0" borderId="46" xfId="0" applyNumberFormat="1" applyFont="1" applyFill="1" applyBorder="1" applyProtection="1">
      <protection hidden="1"/>
    </xf>
    <xf numFmtId="1" fontId="4" fillId="0" borderId="62" xfId="0" applyNumberFormat="1" applyFont="1" applyFill="1" applyBorder="1" applyProtection="1">
      <protection hidden="1"/>
    </xf>
    <xf numFmtId="0" fontId="3" fillId="0" borderId="0" xfId="0" applyFont="1" applyFill="1" applyAlignment="1">
      <alignment horizontal="left"/>
    </xf>
    <xf numFmtId="0" fontId="3" fillId="0" borderId="30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left"/>
    </xf>
    <xf numFmtId="164" fontId="3" fillId="0" borderId="48" xfId="0" quotePrefix="1" applyNumberFormat="1" applyFont="1" applyFill="1" applyBorder="1" applyAlignment="1" applyProtection="1">
      <alignment horizontal="center" vertical="center"/>
      <protection hidden="1"/>
    </xf>
    <xf numFmtId="0" fontId="4" fillId="0" borderId="47" xfId="0" applyFont="1" applyFill="1" applyBorder="1" applyAlignment="1">
      <alignment horizontal="center" textRotation="90" wrapText="1"/>
    </xf>
    <xf numFmtId="0" fontId="11" fillId="0" borderId="29" xfId="0" applyFont="1" applyFill="1" applyBorder="1"/>
    <xf numFmtId="0" fontId="4" fillId="0" borderId="37" xfId="0" applyFont="1" applyFill="1" applyBorder="1" applyProtection="1"/>
    <xf numFmtId="0" fontId="2" fillId="0" borderId="51" xfId="0" applyFont="1" applyFill="1" applyBorder="1" applyProtection="1">
      <protection locked="0"/>
    </xf>
    <xf numFmtId="0" fontId="7" fillId="0" borderId="47" xfId="0" applyFont="1" applyFill="1" applyBorder="1" applyAlignment="1" applyProtection="1">
      <alignment horizontal="center"/>
      <protection locked="0"/>
    </xf>
    <xf numFmtId="0" fontId="7" fillId="0" borderId="51" xfId="0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 applyProtection="1"/>
    <xf numFmtId="0" fontId="4" fillId="0" borderId="39" xfId="0" applyFont="1" applyFill="1" applyBorder="1" applyAlignment="1">
      <alignment horizontal="center" textRotation="90" wrapText="1"/>
    </xf>
    <xf numFmtId="0" fontId="1" fillId="0" borderId="63" xfId="0" applyNumberFormat="1" applyFont="1" applyFill="1" applyBorder="1" applyAlignment="1" applyProtection="1">
      <alignment horizontal="center" vertical="top" textRotation="180"/>
      <protection hidden="1"/>
    </xf>
    <xf numFmtId="0" fontId="1" fillId="0" borderId="64" xfId="0" applyNumberFormat="1" applyFont="1" applyFill="1" applyBorder="1" applyAlignment="1" applyProtection="1">
      <alignment horizontal="center" vertical="top" textRotation="180"/>
      <protection hidden="1"/>
    </xf>
    <xf numFmtId="0" fontId="3" fillId="0" borderId="27" xfId="0" quotePrefix="1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/>
    <xf numFmtId="0" fontId="1" fillId="0" borderId="0" xfId="0" applyFont="1" applyFill="1" applyAlignment="1"/>
    <xf numFmtId="1" fontId="3" fillId="0" borderId="22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30" xfId="0" applyNumberFormat="1" applyFont="1" applyFill="1" applyBorder="1" applyAlignment="1" applyProtection="1">
      <alignment vertical="center"/>
      <protection hidden="1"/>
    </xf>
    <xf numFmtId="0" fontId="4" fillId="0" borderId="3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" fontId="3" fillId="0" borderId="65" xfId="0" applyNumberFormat="1" applyFont="1" applyFill="1" applyBorder="1" applyAlignment="1" applyProtection="1">
      <alignment vertical="center"/>
      <protection hidden="1"/>
    </xf>
    <xf numFmtId="165" fontId="3" fillId="0" borderId="2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28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1" fontId="3" fillId="0" borderId="66" xfId="0" applyNumberFormat="1" applyFont="1" applyFill="1" applyBorder="1" applyAlignment="1" applyProtection="1">
      <alignment vertical="center"/>
      <protection hidden="1"/>
    </xf>
    <xf numFmtId="0" fontId="3" fillId="0" borderId="60" xfId="0" applyFont="1" applyFill="1" applyBorder="1" applyAlignment="1">
      <alignment vertical="center"/>
    </xf>
    <xf numFmtId="1" fontId="3" fillId="0" borderId="67" xfId="0" applyNumberFormat="1" applyFont="1" applyFill="1" applyBorder="1" applyAlignment="1" applyProtection="1">
      <alignment vertical="center"/>
      <protection hidden="1"/>
    </xf>
    <xf numFmtId="0" fontId="3" fillId="0" borderId="68" xfId="0" applyFont="1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1" fontId="1" fillId="0" borderId="66" xfId="0" applyNumberFormat="1" applyFont="1" applyFill="1" applyBorder="1" applyAlignment="1" applyProtection="1">
      <alignment vertical="center"/>
      <protection hidden="1"/>
    </xf>
    <xf numFmtId="0" fontId="0" fillId="0" borderId="60" xfId="0" applyFill="1" applyBorder="1" applyAlignment="1">
      <alignment vertical="center"/>
    </xf>
    <xf numFmtId="1" fontId="1" fillId="0" borderId="65" xfId="0" applyNumberFormat="1" applyFont="1" applyFill="1" applyBorder="1" applyAlignment="1" applyProtection="1">
      <alignment vertical="center"/>
      <protection hidden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30" xfId="0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vertical="center"/>
    </xf>
    <xf numFmtId="0" fontId="3" fillId="0" borderId="69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29" xfId="0" applyFill="1" applyBorder="1" applyAlignment="1">
      <alignment vertical="center"/>
    </xf>
    <xf numFmtId="0" fontId="1" fillId="0" borderId="0" xfId="0" applyNumberFormat="1" applyFont="1" applyFill="1" applyBorder="1" applyProtection="1">
      <protection hidden="1"/>
    </xf>
    <xf numFmtId="0" fontId="8" fillId="0" borderId="51" xfId="0" applyFont="1" applyFill="1" applyBorder="1" applyProtection="1">
      <protection hidden="1"/>
    </xf>
    <xf numFmtId="0" fontId="8" fillId="0" borderId="70" xfId="0" applyNumberFormat="1" applyFont="1" applyFill="1" applyBorder="1" applyAlignment="1" applyProtection="1">
      <alignment horizontal="center"/>
      <protection hidden="1"/>
    </xf>
    <xf numFmtId="0" fontId="10" fillId="0" borderId="49" xfId="0" applyFont="1" applyFill="1" applyBorder="1" applyAlignment="1" applyProtection="1">
      <protection hidden="1"/>
    </xf>
    <xf numFmtId="0" fontId="3" fillId="0" borderId="7" xfId="0" applyNumberFormat="1" applyFont="1" applyFill="1" applyBorder="1" applyAlignment="1" applyProtection="1">
      <alignment horizontal="center" vertical="center"/>
      <protection hidden="1"/>
    </xf>
    <xf numFmtId="0" fontId="3" fillId="0" borderId="15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Protection="1">
      <protection hidden="1"/>
    </xf>
    <xf numFmtId="164" fontId="3" fillId="0" borderId="34" xfId="0" applyNumberFormat="1" applyFont="1" applyFill="1" applyBorder="1" applyAlignment="1" applyProtection="1">
      <alignment horizontal="center" vertical="center"/>
      <protection hidden="1"/>
    </xf>
    <xf numFmtId="0" fontId="3" fillId="0" borderId="26" xfId="0" quotePrefix="1" applyNumberFormat="1" applyFont="1" applyFill="1" applyBorder="1" applyAlignment="1" applyProtection="1">
      <alignment horizontal="center" vertical="center"/>
    </xf>
    <xf numFmtId="1" fontId="3" fillId="0" borderId="18" xfId="0" applyNumberFormat="1" applyFont="1" applyFill="1" applyBorder="1" applyAlignment="1" applyProtection="1">
      <alignment horizontal="center" vertical="center"/>
      <protection hidden="1"/>
    </xf>
    <xf numFmtId="1" fontId="3" fillId="0" borderId="21" xfId="0" applyNumberFormat="1" applyFont="1" applyFill="1" applyBorder="1" applyAlignment="1" applyProtection="1">
      <alignment horizontal="center" vertical="center"/>
      <protection locked="0" hidden="1"/>
    </xf>
    <xf numFmtId="1" fontId="3" fillId="0" borderId="6" xfId="0" applyNumberFormat="1" applyFont="1" applyFill="1" applyBorder="1" applyAlignment="1" applyProtection="1">
      <alignment horizontal="center" vertical="center"/>
      <protection hidden="1"/>
    </xf>
    <xf numFmtId="1" fontId="3" fillId="0" borderId="73" xfId="0" applyNumberFormat="1" applyFont="1" applyFill="1" applyBorder="1" applyAlignment="1" applyProtection="1">
      <alignment horizontal="center" vertical="center"/>
      <protection hidden="1"/>
    </xf>
    <xf numFmtId="1" fontId="3" fillId="0" borderId="74" xfId="0" applyNumberFormat="1" applyFont="1" applyFill="1" applyBorder="1" applyAlignment="1" applyProtection="1">
      <alignment vertical="center"/>
      <protection hidden="1"/>
    </xf>
    <xf numFmtId="1" fontId="3" fillId="0" borderId="73" xfId="0" applyNumberFormat="1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 applyProtection="1">
      <alignment horizontal="center" vertical="center"/>
      <protection hidden="1"/>
    </xf>
    <xf numFmtId="0" fontId="3" fillId="0" borderId="29" xfId="0" applyFont="1" applyFill="1" applyBorder="1" applyAlignment="1">
      <alignment vertical="center"/>
    </xf>
    <xf numFmtId="0" fontId="3" fillId="0" borderId="12" xfId="0" applyFont="1" applyFill="1" applyBorder="1" applyAlignment="1" applyProtection="1"/>
    <xf numFmtId="0" fontId="4" fillId="0" borderId="36" xfId="0" applyFont="1" applyFill="1" applyBorder="1" applyAlignment="1">
      <alignment horizontal="center" vertical="center"/>
    </xf>
    <xf numFmtId="0" fontId="4" fillId="0" borderId="36" xfId="0" applyNumberFormat="1" applyFont="1" applyFill="1" applyBorder="1" applyAlignment="1" applyProtection="1">
      <alignment horizontal="left" vertical="center"/>
      <protection hidden="1"/>
    </xf>
    <xf numFmtId="0" fontId="3" fillId="0" borderId="36" xfId="0" applyFont="1" applyFill="1" applyBorder="1" applyAlignment="1" applyProtection="1">
      <alignment vertical="center"/>
    </xf>
    <xf numFmtId="0" fontId="3" fillId="0" borderId="36" xfId="0" quotePrefix="1" applyFont="1" applyFill="1" applyBorder="1" applyAlignment="1" applyProtection="1">
      <alignment horizontal="center" vertical="center"/>
    </xf>
    <xf numFmtId="0" fontId="3" fillId="0" borderId="27" xfId="0" quotePrefix="1" applyFont="1" applyFill="1" applyBorder="1" applyAlignment="1" applyProtection="1">
      <alignment horizontal="center" vertical="center"/>
    </xf>
    <xf numFmtId="0" fontId="3" fillId="0" borderId="17" xfId="0" quotePrefix="1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vertical="center"/>
    </xf>
    <xf numFmtId="1" fontId="1" fillId="0" borderId="74" xfId="0" applyNumberFormat="1" applyFont="1" applyFill="1" applyBorder="1" applyAlignment="1" applyProtection="1">
      <alignment vertical="center"/>
      <protection hidden="1"/>
    </xf>
    <xf numFmtId="1" fontId="1" fillId="0" borderId="30" xfId="0" applyNumberFormat="1" applyFont="1" applyFill="1" applyBorder="1" applyAlignment="1" applyProtection="1">
      <alignment vertical="center"/>
      <protection hidden="1"/>
    </xf>
    <xf numFmtId="1" fontId="1" fillId="0" borderId="34" xfId="0" applyNumberFormat="1" applyFont="1" applyFill="1" applyBorder="1" applyAlignment="1" applyProtection="1">
      <alignment vertical="center"/>
      <protection hidden="1"/>
    </xf>
    <xf numFmtId="1" fontId="3" fillId="0" borderId="27" xfId="0" applyNumberFormat="1" applyFont="1" applyFill="1" applyBorder="1" applyAlignment="1" applyProtection="1">
      <alignment horizontal="center" vertical="center"/>
      <protection hidden="1"/>
    </xf>
    <xf numFmtId="0" fontId="3" fillId="0" borderId="35" xfId="0" quotePrefix="1" applyNumberFormat="1" applyFont="1" applyFill="1" applyBorder="1" applyAlignment="1" applyProtection="1">
      <alignment horizontal="center" vertical="center"/>
      <protection hidden="1"/>
    </xf>
    <xf numFmtId="0" fontId="4" fillId="0" borderId="29" xfId="0" applyNumberFormat="1" applyFont="1" applyFill="1" applyBorder="1" applyAlignment="1" applyProtection="1">
      <alignment horizontal="left" vertical="center"/>
      <protection hidden="1"/>
    </xf>
    <xf numFmtId="0" fontId="4" fillId="0" borderId="36" xfId="0" applyFont="1" applyFill="1" applyBorder="1" applyAlignment="1" applyProtection="1">
      <alignment vertical="center"/>
    </xf>
    <xf numFmtId="0" fontId="11" fillId="0" borderId="34" xfId="0" quotePrefix="1" applyNumberFormat="1" applyFont="1" applyFill="1" applyBorder="1" applyAlignment="1" applyProtection="1">
      <alignment horizontal="center"/>
      <protection hidden="1"/>
    </xf>
    <xf numFmtId="164" fontId="3" fillId="0" borderId="32" xfId="0" applyNumberFormat="1" applyFont="1" applyFill="1" applyBorder="1" applyAlignment="1" applyProtection="1">
      <alignment horizontal="center" vertical="center"/>
      <protection hidden="1"/>
    </xf>
    <xf numFmtId="164" fontId="3" fillId="0" borderId="76" xfId="0" applyNumberFormat="1" applyFont="1" applyFill="1" applyBorder="1" applyAlignment="1" applyProtection="1">
      <alignment horizontal="center" vertical="center"/>
      <protection hidden="1"/>
    </xf>
    <xf numFmtId="0" fontId="3" fillId="0" borderId="27" xfId="0" applyNumberFormat="1" applyFont="1" applyFill="1" applyBorder="1" applyAlignment="1" applyProtection="1">
      <alignment horizontal="center" vertical="center"/>
      <protection locked="0" hidden="1"/>
    </xf>
    <xf numFmtId="0" fontId="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3" fillId="0" borderId="41" xfId="0" applyNumberFormat="1" applyFont="1" applyFill="1" applyBorder="1" applyAlignment="1" applyProtection="1">
      <alignment horizontal="center" vertical="center"/>
      <protection locked="0" hidden="1"/>
    </xf>
    <xf numFmtId="0" fontId="0" fillId="0" borderId="78" xfId="0" applyFill="1" applyBorder="1" applyAlignment="1">
      <alignment vertical="center"/>
    </xf>
    <xf numFmtId="0" fontId="0" fillId="0" borderId="77" xfId="0" applyFill="1" applyBorder="1" applyAlignment="1">
      <alignment vertical="center"/>
    </xf>
    <xf numFmtId="0" fontId="11" fillId="0" borderId="27" xfId="0" applyNumberFormat="1" applyFont="1" applyFill="1" applyBorder="1" applyAlignment="1" applyProtection="1">
      <alignment horizontal="center" vertical="center"/>
      <protection locked="0" hidden="1"/>
    </xf>
    <xf numFmtId="165" fontId="11" fillId="0" borderId="34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>
      <alignment vertical="center"/>
    </xf>
    <xf numFmtId="0" fontId="11" fillId="0" borderId="34" xfId="0" applyFont="1" applyFill="1" applyBorder="1" applyAlignment="1">
      <alignment vertical="center"/>
    </xf>
    <xf numFmtId="1" fontId="3" fillId="0" borderId="27" xfId="0" applyNumberFormat="1" applyFont="1" applyFill="1" applyBorder="1" applyAlignment="1" applyProtection="1">
      <alignment horizontal="center" vertical="center"/>
      <protection locked="0" hidden="1"/>
    </xf>
    <xf numFmtId="1" fontId="4" fillId="0" borderId="27" xfId="0" applyNumberFormat="1" applyFont="1" applyFill="1" applyBorder="1" applyAlignment="1" applyProtection="1">
      <alignment vertical="center"/>
      <protection locked="0" hidden="1"/>
    </xf>
    <xf numFmtId="0" fontId="3" fillId="0" borderId="48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48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3" fillId="0" borderId="22" xfId="0" applyNumberFormat="1" applyFont="1" applyFill="1" applyBorder="1" applyAlignment="1" applyProtection="1">
      <alignment horizontal="center" vertical="center"/>
      <protection locked="0" hidden="1"/>
    </xf>
    <xf numFmtId="1" fontId="3" fillId="0" borderId="36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78" xfId="0" applyFont="1" applyFill="1" applyBorder="1" applyAlignment="1">
      <alignment vertical="center"/>
    </xf>
    <xf numFmtId="1" fontId="3" fillId="0" borderId="34" xfId="0" applyNumberFormat="1" applyFont="1" applyFill="1" applyBorder="1" applyAlignment="1" applyProtection="1">
      <alignment horizontal="center" vertical="center"/>
      <protection locked="0" hidden="1"/>
    </xf>
    <xf numFmtId="1" fontId="3" fillId="0" borderId="37" xfId="0" applyNumberFormat="1" applyFont="1" applyFill="1" applyBorder="1" applyAlignment="1" applyProtection="1">
      <alignment vertical="center" wrapText="1"/>
      <protection hidden="1"/>
    </xf>
    <xf numFmtId="1" fontId="3" fillId="0" borderId="36" xfId="0" applyNumberFormat="1" applyFont="1" applyFill="1" applyBorder="1" applyAlignment="1" applyProtection="1">
      <alignment horizontal="center"/>
      <protection hidden="1"/>
    </xf>
    <xf numFmtId="164" fontId="3" fillId="0" borderId="36" xfId="0" applyNumberFormat="1" applyFont="1" applyFill="1" applyBorder="1" applyAlignment="1" applyProtection="1">
      <alignment horizontal="center" vertical="center"/>
      <protection hidden="1"/>
    </xf>
    <xf numFmtId="0" fontId="3" fillId="0" borderId="27" xfId="0" applyFont="1" applyFill="1" applyBorder="1" applyAlignment="1" applyProtection="1">
      <alignment horizontal="center" vertical="center"/>
    </xf>
    <xf numFmtId="165" fontId="3" fillId="0" borderId="34" xfId="0" applyNumberFormat="1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horizontal="right" vertical="center"/>
      <protection hidden="1"/>
    </xf>
    <xf numFmtId="0" fontId="3" fillId="0" borderId="26" xfId="0" applyNumberFormat="1" applyFont="1" applyFill="1" applyBorder="1" applyAlignment="1" applyProtection="1">
      <alignment horizontal="center" vertical="center"/>
      <protection hidden="1"/>
    </xf>
    <xf numFmtId="0" fontId="3" fillId="0" borderId="26" xfId="0" quotePrefix="1" applyNumberFormat="1" applyFont="1" applyFill="1" applyBorder="1" applyAlignment="1" applyProtection="1">
      <alignment horizontal="center" vertical="center"/>
      <protection hidden="1"/>
    </xf>
    <xf numFmtId="0" fontId="11" fillId="0" borderId="27" xfId="0" quotePrefix="1" applyNumberFormat="1" applyFont="1" applyFill="1" applyBorder="1" applyAlignment="1" applyProtection="1">
      <alignment horizontal="center" vertical="center"/>
      <protection locked="0" hidden="1"/>
    </xf>
    <xf numFmtId="0" fontId="3" fillId="0" borderId="34" xfId="0" quotePrefix="1" applyNumberFormat="1" applyFont="1" applyFill="1" applyBorder="1" applyAlignment="1" applyProtection="1">
      <alignment horizontal="center" vertical="center"/>
      <protection locked="0" hidden="1"/>
    </xf>
    <xf numFmtId="0" fontId="11" fillId="0" borderId="26" xfId="0" quotePrefix="1" applyNumberFormat="1" applyFont="1" applyFill="1" applyBorder="1" applyAlignment="1" applyProtection="1">
      <alignment horizontal="center" vertical="center"/>
      <protection locked="0" hidden="1"/>
    </xf>
    <xf numFmtId="0" fontId="11" fillId="0" borderId="17" xfId="0" applyNumberFormat="1" applyFont="1" applyFill="1" applyBorder="1" applyAlignment="1" applyProtection="1">
      <alignment horizontal="center" vertical="center"/>
      <protection hidden="1"/>
    </xf>
    <xf numFmtId="0" fontId="11" fillId="0" borderId="35" xfId="0" applyNumberFormat="1" applyFont="1" applyFill="1" applyBorder="1" applyAlignment="1" applyProtection="1">
      <alignment horizontal="center" vertical="center"/>
      <protection hidden="1"/>
    </xf>
    <xf numFmtId="0" fontId="3" fillId="0" borderId="36" xfId="0" quotePrefix="1" applyNumberFormat="1" applyFont="1" applyFill="1" applyBorder="1" applyAlignment="1" applyProtection="1">
      <alignment horizontal="center" vertical="center"/>
      <protection locked="0" hidden="1"/>
    </xf>
    <xf numFmtId="0" fontId="3" fillId="0" borderId="55" xfId="0" quotePrefix="1" applyNumberFormat="1" applyFont="1" applyFill="1" applyBorder="1" applyAlignment="1" applyProtection="1">
      <alignment horizontal="center" vertical="center"/>
      <protection hidden="1"/>
    </xf>
    <xf numFmtId="0" fontId="3" fillId="0" borderId="35" xfId="0" quotePrefix="1" applyNumberFormat="1" applyFont="1" applyFill="1" applyBorder="1" applyAlignment="1" applyProtection="1">
      <alignment horizontal="center" vertical="center"/>
      <protection locked="0" hidden="1"/>
    </xf>
    <xf numFmtId="0" fontId="3" fillId="0" borderId="34" xfId="0" applyNumberFormat="1" applyFont="1" applyFill="1" applyBorder="1" applyAlignment="1" applyProtection="1">
      <alignment horizontal="center" vertical="center"/>
      <protection hidden="1"/>
    </xf>
    <xf numFmtId="0" fontId="3" fillId="0" borderId="41" xfId="0" quotePrefix="1" applyNumberFormat="1" applyFont="1" applyFill="1" applyBorder="1" applyAlignment="1" applyProtection="1">
      <alignment horizontal="center" vertical="center"/>
      <protection hidden="1"/>
    </xf>
    <xf numFmtId="0" fontId="4" fillId="0" borderId="36" xfId="0" applyFont="1" applyFill="1" applyBorder="1" applyAlignment="1" applyProtection="1">
      <alignment horizontal="left" vertical="center"/>
    </xf>
    <xf numFmtId="0" fontId="3" fillId="0" borderId="27" xfId="0" applyNumberFormat="1" applyFont="1" applyFill="1" applyBorder="1" applyAlignment="1" applyProtection="1">
      <alignment horizontal="left" vertical="center"/>
      <protection hidden="1"/>
    </xf>
    <xf numFmtId="1" fontId="3" fillId="0" borderId="36" xfId="0" applyNumberFormat="1" applyFont="1" applyFill="1" applyBorder="1" applyAlignment="1" applyProtection="1">
      <alignment horizontal="left" vertical="center"/>
      <protection hidden="1"/>
    </xf>
    <xf numFmtId="0" fontId="3" fillId="0" borderId="46" xfId="0" applyFont="1" applyFill="1" applyBorder="1" applyAlignment="1" applyProtection="1">
      <alignment vertical="center"/>
    </xf>
    <xf numFmtId="1" fontId="3" fillId="0" borderId="33" xfId="0" quotePrefix="1" applyNumberFormat="1" applyFont="1" applyFill="1" applyBorder="1" applyAlignment="1" applyProtection="1">
      <alignment horizontal="center" vertical="center"/>
      <protection hidden="1"/>
    </xf>
    <xf numFmtId="1" fontId="3" fillId="0" borderId="78" xfId="0" applyNumberFormat="1" applyFont="1" applyFill="1" applyBorder="1" applyAlignment="1" applyProtection="1">
      <alignment horizontal="center" vertical="center"/>
      <protection hidden="1"/>
    </xf>
    <xf numFmtId="0" fontId="3" fillId="0" borderId="21" xfId="0" quotePrefix="1" applyNumberFormat="1" applyFont="1" applyFill="1" applyBorder="1" applyAlignment="1" applyProtection="1">
      <alignment horizontal="center" vertical="center"/>
      <protection hidden="1"/>
    </xf>
    <xf numFmtId="0" fontId="3" fillId="0" borderId="29" xfId="0" applyNumberFormat="1" applyFont="1" applyFill="1" applyBorder="1" applyAlignment="1" applyProtection="1">
      <alignment horizontal="center" vertical="center"/>
      <protection hidden="1"/>
    </xf>
    <xf numFmtId="0" fontId="3" fillId="0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34" xfId="0" applyNumberFormat="1" applyFont="1" applyFill="1" applyBorder="1" applyAlignment="1" applyProtection="1">
      <alignment horizontal="center"/>
      <protection hidden="1"/>
    </xf>
    <xf numFmtId="165" fontId="3" fillId="0" borderId="34" xfId="0" applyNumberFormat="1" applyFont="1" applyFill="1" applyBorder="1" applyAlignment="1" applyProtection="1">
      <alignment horizontal="center"/>
      <protection hidden="1"/>
    </xf>
    <xf numFmtId="0" fontId="3" fillId="0" borderId="34" xfId="0" applyNumberFormat="1" applyFont="1" applyFill="1" applyBorder="1" applyAlignment="1" applyProtection="1">
      <alignment horizontal="left" vertical="center"/>
      <protection hidden="1"/>
    </xf>
    <xf numFmtId="0" fontId="4" fillId="0" borderId="36" xfId="0" applyFont="1" applyFill="1" applyBorder="1" applyAlignment="1" applyProtection="1">
      <alignment horizontal="right" vertical="center"/>
    </xf>
    <xf numFmtId="0" fontId="4" fillId="0" borderId="34" xfId="0" applyFont="1" applyFill="1" applyBorder="1" applyAlignment="1" applyProtection="1">
      <alignment horizontal="right" vertical="center"/>
      <protection hidden="1"/>
    </xf>
    <xf numFmtId="0" fontId="4" fillId="0" borderId="66" xfId="1540" applyNumberFormat="1" applyFont="1" applyFill="1" applyBorder="1" applyAlignment="1" applyProtection="1">
      <alignment vertical="center"/>
      <protection hidden="1"/>
    </xf>
    <xf numFmtId="0" fontId="3" fillId="0" borderId="60" xfId="1540" applyNumberFormat="1" applyFont="1" applyFill="1" applyBorder="1" applyAlignment="1" applyProtection="1">
      <alignment vertical="center"/>
      <protection hidden="1"/>
    </xf>
    <xf numFmtId="1" fontId="3" fillId="0" borderId="28" xfId="1540" applyNumberFormat="1" applyFont="1" applyFill="1" applyBorder="1" applyAlignment="1" applyProtection="1">
      <alignment vertical="center"/>
      <protection hidden="1"/>
    </xf>
    <xf numFmtId="0" fontId="3" fillId="0" borderId="28" xfId="1540" applyNumberFormat="1" applyFont="1" applyFill="1" applyBorder="1" applyAlignment="1" applyProtection="1">
      <alignment vertical="center"/>
      <protection hidden="1"/>
    </xf>
    <xf numFmtId="0" fontId="3" fillId="0" borderId="68" xfId="1540" applyNumberFormat="1" applyFont="1" applyFill="1" applyBorder="1" applyAlignment="1" applyProtection="1">
      <alignment horizontal="left" vertical="center"/>
      <protection hidden="1"/>
    </xf>
    <xf numFmtId="0" fontId="3" fillId="0" borderId="28" xfId="1540" applyNumberFormat="1" applyFont="1" applyFill="1" applyBorder="1" applyAlignment="1" applyProtection="1">
      <alignment horizontal="left" vertical="center"/>
      <protection hidden="1"/>
    </xf>
    <xf numFmtId="0" fontId="3" fillId="0" borderId="74" xfId="1540" applyNumberFormat="1" applyFont="1" applyFill="1" applyBorder="1" applyAlignment="1" applyProtection="1">
      <alignment horizontal="left" vertical="center"/>
      <protection hidden="1"/>
    </xf>
    <xf numFmtId="0" fontId="3" fillId="0" borderId="29" xfId="1540" applyNumberFormat="1" applyFont="1" applyFill="1" applyBorder="1" applyAlignment="1" applyProtection="1">
      <alignment horizontal="left" vertical="center"/>
      <protection hidden="1"/>
    </xf>
    <xf numFmtId="1" fontId="3" fillId="0" borderId="29" xfId="1540" applyNumberFormat="1" applyFont="1" applyFill="1" applyBorder="1" applyAlignment="1" applyProtection="1">
      <alignment vertical="center"/>
      <protection hidden="1"/>
    </xf>
    <xf numFmtId="1" fontId="3" fillId="0" borderId="58" xfId="1540" applyNumberFormat="1" applyFont="1" applyFill="1" applyBorder="1" applyAlignment="1" applyProtection="1">
      <alignment horizontal="center" vertical="center"/>
      <protection hidden="1"/>
    </xf>
    <xf numFmtId="1" fontId="3" fillId="0" borderId="14" xfId="1540" applyNumberFormat="1" applyFont="1" applyFill="1" applyBorder="1" applyAlignment="1" applyProtection="1">
      <alignment horizontal="center" vertical="center"/>
      <protection hidden="1"/>
    </xf>
    <xf numFmtId="1" fontId="3" fillId="0" borderId="82" xfId="1540" applyNumberFormat="1" applyFont="1" applyFill="1" applyBorder="1" applyAlignment="1" applyProtection="1">
      <alignment horizontal="center" vertical="center"/>
      <protection hidden="1"/>
    </xf>
    <xf numFmtId="1" fontId="3" fillId="0" borderId="83" xfId="1540" applyNumberFormat="1" applyFont="1" applyFill="1" applyBorder="1" applyAlignment="1" applyProtection="1">
      <alignment horizontal="center" vertical="center"/>
      <protection hidden="1"/>
    </xf>
    <xf numFmtId="0" fontId="3" fillId="0" borderId="59" xfId="1540" applyNumberFormat="1" applyFont="1" applyFill="1" applyBorder="1" applyAlignment="1" applyProtection="1">
      <alignment horizontal="center" vertical="center"/>
      <protection hidden="1"/>
    </xf>
    <xf numFmtId="0" fontId="3" fillId="0" borderId="13" xfId="1540" applyNumberFormat="1" applyFont="1" applyFill="1" applyBorder="1" applyAlignment="1" applyProtection="1">
      <alignment horizontal="center" vertical="center"/>
      <protection hidden="1"/>
    </xf>
    <xf numFmtId="1" fontId="3" fillId="0" borderId="73" xfId="1540" applyNumberFormat="1" applyFont="1" applyFill="1" applyBorder="1" applyAlignment="1" applyProtection="1">
      <alignment horizontal="center" vertical="center"/>
      <protection hidden="1"/>
    </xf>
    <xf numFmtId="1" fontId="3" fillId="0" borderId="6" xfId="1540" applyNumberFormat="1" applyFont="1" applyFill="1" applyBorder="1" applyAlignment="1" applyProtection="1">
      <alignment horizontal="center" vertical="center"/>
      <protection hidden="1"/>
    </xf>
    <xf numFmtId="0" fontId="3" fillId="0" borderId="84" xfId="0" applyNumberFormat="1" applyFont="1" applyFill="1" applyBorder="1" applyAlignment="1" applyProtection="1">
      <alignment horizontal="left" vertical="center"/>
      <protection hidden="1"/>
    </xf>
    <xf numFmtId="0" fontId="4" fillId="0" borderId="85" xfId="0" applyNumberFormat="1" applyFont="1" applyFill="1" applyBorder="1" applyAlignment="1" applyProtection="1">
      <alignment horizontal="left" vertical="center"/>
      <protection hidden="1"/>
    </xf>
    <xf numFmtId="0" fontId="4" fillId="0" borderId="86" xfId="0" applyNumberFormat="1" applyFont="1" applyFill="1" applyBorder="1" applyAlignment="1" applyProtection="1">
      <alignment horizontal="left" vertical="center"/>
      <protection hidden="1"/>
    </xf>
    <xf numFmtId="0" fontId="1" fillId="0" borderId="75" xfId="0" applyNumberFormat="1" applyFont="1" applyFill="1" applyBorder="1" applyAlignment="1" applyProtection="1">
      <alignment vertical="center"/>
      <protection hidden="1"/>
    </xf>
    <xf numFmtId="0" fontId="4" fillId="0" borderId="62" xfId="0" applyFont="1" applyFill="1" applyBorder="1" applyAlignment="1" applyProtection="1">
      <alignment vertical="center"/>
      <protection hidden="1"/>
    </xf>
    <xf numFmtId="0" fontId="4" fillId="0" borderId="36" xfId="0" applyFont="1" applyFill="1" applyBorder="1" applyAlignment="1" applyProtection="1">
      <alignment vertical="center"/>
      <protection hidden="1"/>
    </xf>
    <xf numFmtId="0" fontId="4" fillId="0" borderId="36" xfId="1540" applyFont="1" applyFill="1" applyBorder="1" applyAlignment="1" applyProtection="1">
      <alignment vertical="center"/>
      <protection hidden="1"/>
    </xf>
    <xf numFmtId="1" fontId="3" fillId="0" borderId="20" xfId="0" applyNumberFormat="1" applyFont="1" applyFill="1" applyBorder="1" applyAlignment="1" applyProtection="1">
      <alignment vertical="center"/>
    </xf>
    <xf numFmtId="1" fontId="3" fillId="0" borderId="37" xfId="0" applyNumberFormat="1" applyFont="1" applyFill="1" applyBorder="1" applyAlignment="1" applyProtection="1">
      <alignment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79" xfId="0" applyFont="1" applyFill="1" applyBorder="1" applyAlignment="1" applyProtection="1">
      <alignment vertical="center"/>
      <protection hidden="1"/>
    </xf>
    <xf numFmtId="1" fontId="3" fillId="0" borderId="33" xfId="0" applyNumberFormat="1" applyFont="1" applyFill="1" applyBorder="1" applyAlignment="1" applyProtection="1">
      <alignment horizontal="center" vertical="center"/>
      <protection hidden="1"/>
    </xf>
    <xf numFmtId="1" fontId="3" fillId="0" borderId="87" xfId="0" applyNumberFormat="1" applyFont="1" applyFill="1" applyBorder="1" applyAlignment="1" applyProtection="1">
      <alignment horizontal="center" vertical="center"/>
      <protection hidden="1"/>
    </xf>
    <xf numFmtId="1" fontId="3" fillId="0" borderId="88" xfId="0" applyNumberFormat="1" applyFont="1" applyFill="1" applyBorder="1" applyAlignment="1" applyProtection="1">
      <alignment horizontal="center" vertical="center"/>
      <protection hidden="1"/>
    </xf>
    <xf numFmtId="1" fontId="3" fillId="0" borderId="90" xfId="0" applyNumberFormat="1" applyFont="1" applyFill="1" applyBorder="1" applyAlignment="1" applyProtection="1">
      <alignment horizontal="center" vertical="center"/>
      <protection hidden="1"/>
    </xf>
    <xf numFmtId="165" fontId="3" fillId="0" borderId="91" xfId="0" applyNumberFormat="1" applyFont="1" applyFill="1" applyBorder="1" applyAlignment="1" applyProtection="1">
      <alignment horizontal="center" vertical="center"/>
      <protection hidden="1"/>
    </xf>
    <xf numFmtId="1" fontId="3" fillId="0" borderId="21" xfId="0" applyNumberFormat="1" applyFont="1" applyFill="1" applyBorder="1" applyAlignment="1" applyProtection="1">
      <alignment horizontal="center" vertical="center"/>
      <protection hidden="1"/>
    </xf>
    <xf numFmtId="1" fontId="3" fillId="0" borderId="92" xfId="0" applyNumberFormat="1" applyFont="1" applyFill="1" applyBorder="1" applyAlignment="1" applyProtection="1">
      <alignment horizontal="center" vertical="center"/>
      <protection hidden="1"/>
    </xf>
    <xf numFmtId="165" fontId="3" fillId="0" borderId="93" xfId="0" quotePrefix="1" applyNumberFormat="1" applyFont="1" applyFill="1" applyBorder="1" applyAlignment="1" applyProtection="1">
      <alignment horizontal="center" vertical="center"/>
      <protection hidden="1"/>
    </xf>
    <xf numFmtId="0" fontId="3" fillId="0" borderId="33" xfId="0" applyNumberFormat="1" applyFont="1" applyFill="1" applyBorder="1" applyAlignment="1" applyProtection="1">
      <alignment horizontal="center" vertical="center"/>
      <protection hidden="1"/>
    </xf>
    <xf numFmtId="165" fontId="3" fillId="0" borderId="90" xfId="0" applyNumberFormat="1" applyFont="1" applyFill="1" applyBorder="1" applyAlignment="1" applyProtection="1">
      <alignment horizontal="center" vertical="center"/>
      <protection hidden="1"/>
    </xf>
    <xf numFmtId="165" fontId="3" fillId="0" borderId="14" xfId="0" applyNumberFormat="1" applyFont="1" applyFill="1" applyBorder="1" applyAlignment="1" applyProtection="1">
      <alignment horizontal="center" vertical="center"/>
      <protection hidden="1"/>
    </xf>
    <xf numFmtId="165" fontId="3" fillId="0" borderId="28" xfId="0" applyNumberFormat="1" applyFont="1" applyFill="1" applyBorder="1" applyAlignment="1" applyProtection="1">
      <alignment horizontal="center" vertical="center"/>
      <protection hidden="1"/>
    </xf>
    <xf numFmtId="0" fontId="3" fillId="0" borderId="48" xfId="0" applyNumberFormat="1" applyFont="1" applyFill="1" applyBorder="1" applyAlignment="1" applyProtection="1">
      <alignment horizontal="center" vertical="center"/>
      <protection hidden="1"/>
    </xf>
    <xf numFmtId="0" fontId="3" fillId="0" borderId="77" xfId="0" applyNumberFormat="1" applyFont="1" applyFill="1" applyBorder="1" applyAlignment="1" applyProtection="1">
      <alignment horizontal="center" vertical="center"/>
      <protection hidden="1"/>
    </xf>
    <xf numFmtId="1" fontId="3" fillId="0" borderId="20" xfId="0" applyNumberFormat="1" applyFont="1" applyFill="1" applyBorder="1" applyAlignment="1" applyProtection="1">
      <alignment horizontal="center" vertical="center"/>
      <protection hidden="1"/>
    </xf>
    <xf numFmtId="1" fontId="3" fillId="0" borderId="94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Alignment="1">
      <alignment vertical="center"/>
    </xf>
    <xf numFmtId="0" fontId="3" fillId="0" borderId="73" xfId="0" applyNumberFormat="1" applyFont="1" applyFill="1" applyBorder="1" applyAlignment="1" applyProtection="1">
      <alignment horizontal="center" vertical="center"/>
      <protection hidden="1"/>
    </xf>
    <xf numFmtId="0" fontId="3" fillId="0" borderId="92" xfId="0" applyNumberFormat="1" applyFont="1" applyFill="1" applyBorder="1" applyAlignment="1" applyProtection="1">
      <alignment horizontal="center" vertical="center"/>
      <protection hidden="1"/>
    </xf>
    <xf numFmtId="0" fontId="3" fillId="0" borderId="93" xfId="0" quotePrefix="1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 applyFill="1" applyAlignment="1">
      <alignment vertical="center"/>
    </xf>
    <xf numFmtId="0" fontId="3" fillId="0" borderId="80" xfId="0" applyNumberFormat="1" applyFont="1" applyFill="1" applyBorder="1" applyAlignment="1" applyProtection="1">
      <alignment horizontal="center" vertical="center"/>
      <protection hidden="1"/>
    </xf>
    <xf numFmtId="0" fontId="3" fillId="0" borderId="96" xfId="0" applyNumberFormat="1" applyFont="1" applyFill="1" applyBorder="1" applyAlignment="1" applyProtection="1">
      <alignment horizontal="center" vertical="center"/>
      <protection hidden="1"/>
    </xf>
    <xf numFmtId="0" fontId="3" fillId="0" borderId="8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16" fontId="0" fillId="0" borderId="0" xfId="0" applyNumberFormat="1" applyFill="1" applyBorder="1" applyAlignment="1">
      <alignment vertical="center"/>
    </xf>
    <xf numFmtId="165" fontId="3" fillId="0" borderId="22" xfId="0" quotePrefix="1" applyNumberFormat="1" applyFont="1" applyFill="1" applyBorder="1" applyAlignment="1" applyProtection="1">
      <alignment horizontal="center" vertical="center"/>
      <protection locked="0" hidden="1"/>
    </xf>
    <xf numFmtId="165" fontId="3" fillId="0" borderId="37" xfId="0" quotePrefix="1" applyNumberFormat="1" applyFont="1" applyFill="1" applyBorder="1" applyAlignment="1" applyProtection="1">
      <alignment horizontal="center" vertical="center"/>
      <protection locked="0" hidden="1"/>
    </xf>
    <xf numFmtId="165" fontId="3" fillId="0" borderId="21" xfId="0" quotePrefix="1" applyNumberFormat="1" applyFont="1" applyFill="1" applyBorder="1" applyAlignment="1" applyProtection="1">
      <alignment horizontal="center" vertical="center"/>
      <protection locked="0" hidden="1"/>
    </xf>
    <xf numFmtId="0" fontId="3" fillId="0" borderId="6" xfId="0" quotePrefix="1" applyNumberFormat="1" applyFont="1" applyFill="1" applyBorder="1" applyAlignment="1" applyProtection="1">
      <alignment horizontal="center" vertical="center"/>
      <protection hidden="1"/>
    </xf>
    <xf numFmtId="0" fontId="3" fillId="0" borderId="73" xfId="0" quotePrefix="1" applyNumberFormat="1" applyFont="1" applyFill="1" applyBorder="1" applyAlignment="1" applyProtection="1">
      <alignment horizontal="center" vertical="center"/>
      <protection hidden="1"/>
    </xf>
    <xf numFmtId="165" fontId="3" fillId="0" borderId="14" xfId="0" quotePrefix="1" applyNumberFormat="1" applyFont="1" applyFill="1" applyBorder="1" applyAlignment="1" applyProtection="1">
      <alignment horizontal="center" vertical="center"/>
      <protection hidden="1"/>
    </xf>
    <xf numFmtId="165" fontId="3" fillId="0" borderId="58" xfId="0" quotePrefix="1" applyNumberFormat="1" applyFont="1" applyFill="1" applyBorder="1" applyAlignment="1" applyProtection="1">
      <alignment horizontal="center" vertical="center"/>
      <protection hidden="1"/>
    </xf>
    <xf numFmtId="165" fontId="3" fillId="0" borderId="6" xfId="0" quotePrefix="1" applyNumberFormat="1" applyFont="1" applyFill="1" applyBorder="1" applyAlignment="1" applyProtection="1">
      <alignment horizontal="center" vertical="center"/>
      <protection hidden="1"/>
    </xf>
    <xf numFmtId="165" fontId="3" fillId="0" borderId="73" xfId="0" applyNumberFormat="1" applyFont="1" applyFill="1" applyBorder="1" applyAlignment="1" applyProtection="1">
      <alignment horizontal="center" vertical="center"/>
      <protection hidden="1"/>
    </xf>
    <xf numFmtId="165" fontId="3" fillId="0" borderId="73" xfId="0" quotePrefix="1" applyNumberFormat="1" applyFont="1" applyFill="1" applyBorder="1" applyAlignment="1" applyProtection="1">
      <alignment horizontal="center" vertical="center"/>
      <protection hidden="1"/>
    </xf>
    <xf numFmtId="165" fontId="3" fillId="0" borderId="6" xfId="0" applyNumberFormat="1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>
      <alignment horizontal="center"/>
    </xf>
    <xf numFmtId="0" fontId="3" fillId="0" borderId="20" xfId="0" applyNumberFormat="1" applyFont="1" applyFill="1" applyBorder="1" applyAlignment="1" applyProtection="1">
      <alignment horizontal="left" vertical="center"/>
      <protection hidden="1"/>
    </xf>
    <xf numFmtId="0" fontId="3" fillId="0" borderId="47" xfId="0" applyFont="1" applyFill="1" applyBorder="1" applyAlignment="1" applyProtection="1">
      <alignment horizontal="center" vertical="top" textRotation="180"/>
      <protection locked="0" hidden="1"/>
    </xf>
    <xf numFmtId="0" fontId="4" fillId="0" borderId="27" xfId="0" applyFont="1" applyFill="1" applyBorder="1" applyAlignment="1" applyProtection="1">
      <alignment horizontal="right" vertical="center"/>
      <protection locked="0" hidden="1"/>
    </xf>
    <xf numFmtId="1" fontId="4" fillId="0" borderId="19" xfId="0" applyNumberFormat="1" applyFont="1" applyFill="1" applyBorder="1" applyAlignment="1" applyProtection="1">
      <alignment horizontal="right" vertical="center"/>
      <protection hidden="1"/>
    </xf>
    <xf numFmtId="1" fontId="4" fillId="0" borderId="22" xfId="0" applyNumberFormat="1" applyFont="1" applyFill="1" applyBorder="1" applyAlignment="1" applyProtection="1">
      <alignment vertical="center"/>
      <protection locked="0" hidden="1"/>
    </xf>
    <xf numFmtId="165" fontId="4" fillId="0" borderId="27" xfId="0" applyNumberFormat="1" applyFont="1" applyFill="1" applyBorder="1" applyAlignment="1" applyProtection="1">
      <alignment vertical="center"/>
    </xf>
    <xf numFmtId="0" fontId="6" fillId="0" borderId="27" xfId="0" applyFont="1" applyFill="1" applyBorder="1" applyAlignment="1" applyProtection="1">
      <alignment vertical="center"/>
      <protection locked="0" hidden="1"/>
    </xf>
    <xf numFmtId="0" fontId="0" fillId="0" borderId="21" xfId="0" applyFill="1" applyBorder="1" applyAlignment="1" applyProtection="1">
      <alignment vertical="center"/>
      <protection locked="0" hidden="1"/>
    </xf>
    <xf numFmtId="0" fontId="11" fillId="0" borderId="27" xfId="0" applyFont="1" applyFill="1" applyBorder="1" applyProtection="1">
      <protection locked="0" hidden="1"/>
    </xf>
    <xf numFmtId="0" fontId="4" fillId="0" borderId="27" xfId="0" applyFont="1" applyFill="1" applyBorder="1" applyAlignment="1" applyProtection="1">
      <alignment vertical="center"/>
    </xf>
    <xf numFmtId="0" fontId="0" fillId="0" borderId="56" xfId="0" applyFill="1" applyBorder="1"/>
    <xf numFmtId="0" fontId="0" fillId="0" borderId="56" xfId="0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3" fillId="0" borderId="56" xfId="0" applyFont="1" applyFill="1" applyBorder="1" applyAlignment="1" applyProtection="1">
      <alignment horizontal="center"/>
    </xf>
    <xf numFmtId="0" fontId="3" fillId="0" borderId="47" xfId="0" applyFont="1" applyFill="1" applyBorder="1" applyProtection="1">
      <protection locked="0" hidden="1"/>
    </xf>
    <xf numFmtId="0" fontId="3" fillId="0" borderId="19" xfId="0" applyFont="1" applyFill="1" applyBorder="1" applyAlignment="1" applyProtection="1">
      <alignment horizontal="center" vertical="top" textRotation="180"/>
      <protection locked="0" hidden="1"/>
    </xf>
    <xf numFmtId="0" fontId="4" fillId="0" borderId="27" xfId="0" applyFont="1" applyFill="1" applyBorder="1" applyAlignment="1">
      <alignment vertical="center"/>
    </xf>
    <xf numFmtId="0" fontId="4" fillId="0" borderId="27" xfId="0" applyFont="1" applyFill="1" applyBorder="1" applyProtection="1">
      <protection locked="0" hidden="1"/>
    </xf>
    <xf numFmtId="1" fontId="3" fillId="0" borderId="27" xfId="0" applyNumberFormat="1" applyFont="1" applyFill="1" applyBorder="1" applyProtection="1">
      <protection locked="0"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3" fillId="0" borderId="98" xfId="0" applyFont="1" applyFill="1" applyBorder="1" applyAlignment="1" applyProtection="1">
      <alignment vertical="center"/>
    </xf>
    <xf numFmtId="0" fontId="3" fillId="0" borderId="99" xfId="0" applyFont="1" applyFill="1" applyBorder="1" applyAlignment="1" applyProtection="1">
      <alignment vertical="center"/>
    </xf>
    <xf numFmtId="0" fontId="1" fillId="0" borderId="101" xfId="0" applyNumberFormat="1" applyFont="1" applyFill="1" applyBorder="1" applyAlignment="1" applyProtection="1">
      <alignment horizontal="center" vertical="center"/>
      <protection hidden="1"/>
    </xf>
    <xf numFmtId="0" fontId="1" fillId="0" borderId="102" xfId="0" applyNumberFormat="1" applyFont="1" applyFill="1" applyBorder="1" applyAlignment="1" applyProtection="1">
      <alignment horizontal="center" vertical="center"/>
      <protection hidden="1"/>
    </xf>
    <xf numFmtId="1" fontId="4" fillId="0" borderId="36" xfId="0" applyNumberFormat="1" applyFont="1" applyFill="1" applyBorder="1" applyAlignment="1" applyProtection="1">
      <alignment vertical="center"/>
      <protection hidden="1"/>
    </xf>
    <xf numFmtId="0" fontId="3" fillId="0" borderId="27" xfId="0" applyNumberFormat="1" applyFont="1" applyFill="1" applyBorder="1" applyAlignment="1" applyProtection="1">
      <alignment horizontal="center" vertical="center"/>
      <protection hidden="1"/>
    </xf>
    <xf numFmtId="1" fontId="3" fillId="0" borderId="36" xfId="0" applyNumberFormat="1" applyFont="1" applyFill="1" applyBorder="1" applyAlignment="1" applyProtection="1">
      <alignment vertical="center"/>
      <protection hidden="1"/>
    </xf>
    <xf numFmtId="1" fontId="3" fillId="0" borderId="33" xfId="0" applyNumberFormat="1" applyFont="1" applyFill="1" applyBorder="1" applyAlignment="1" applyProtection="1">
      <alignment horizontal="center" vertical="center"/>
      <protection locked="0" hidden="1"/>
    </xf>
    <xf numFmtId="1" fontId="3" fillId="0" borderId="22" xfId="0" applyNumberFormat="1" applyFont="1" applyFill="1" applyBorder="1" applyAlignment="1" applyProtection="1">
      <alignment horizontal="center" vertical="center"/>
      <protection locked="0" hidden="1"/>
    </xf>
    <xf numFmtId="1" fontId="3" fillId="0" borderId="22" xfId="0" quotePrefix="1" applyNumberFormat="1" applyFont="1" applyFill="1" applyBorder="1" applyAlignment="1" applyProtection="1">
      <alignment horizontal="center" vertical="center"/>
      <protection locked="0" hidden="1"/>
    </xf>
    <xf numFmtId="1" fontId="3" fillId="0" borderId="19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22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>
      <alignment horizontal="right" vertical="center"/>
    </xf>
    <xf numFmtId="0" fontId="0" fillId="0" borderId="28" xfId="0" applyFill="1" applyBorder="1" applyAlignment="1">
      <alignment horizontal="right" vertical="center"/>
    </xf>
    <xf numFmtId="1" fontId="3" fillId="0" borderId="21" xfId="0" applyNumberFormat="1" applyFont="1" applyFill="1" applyBorder="1" applyAlignment="1" applyProtection="1">
      <alignment vertical="center"/>
    </xf>
    <xf numFmtId="165" fontId="3" fillId="0" borderId="22" xfId="0" applyNumberFormat="1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165" fontId="3" fillId="0" borderId="2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33" xfId="0" applyFont="1" applyFill="1" applyBorder="1" applyAlignment="1" applyProtection="1">
      <alignment vertical="center"/>
      <protection locked="0" hidden="1"/>
    </xf>
    <xf numFmtId="165" fontId="3" fillId="0" borderId="33" xfId="0" quotePrefix="1" applyNumberFormat="1" applyFont="1" applyFill="1" applyBorder="1" applyAlignment="1" applyProtection="1">
      <alignment horizontal="center" vertical="center"/>
      <protection locked="0" hidden="1"/>
    </xf>
    <xf numFmtId="165" fontId="3" fillId="0" borderId="87" xfId="0" quotePrefix="1" applyNumberFormat="1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>
      <alignment vertical="center"/>
    </xf>
    <xf numFmtId="0" fontId="1" fillId="0" borderId="22" xfId="0" applyFont="1" applyFill="1" applyBorder="1" applyAlignment="1" applyProtection="1">
      <alignment vertical="center"/>
      <protection locked="0" hidden="1"/>
    </xf>
    <xf numFmtId="165" fontId="3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29" xfId="0" applyFont="1" applyFill="1" applyBorder="1" applyAlignment="1">
      <alignment vertical="center"/>
    </xf>
    <xf numFmtId="0" fontId="3" fillId="0" borderId="105" xfId="0" quotePrefix="1" applyNumberFormat="1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vertical="center"/>
      <protection locked="0" hidden="1"/>
    </xf>
    <xf numFmtId="0" fontId="3" fillId="0" borderId="106" xfId="0" quotePrefix="1" applyNumberFormat="1" applyFont="1" applyFill="1" applyBorder="1" applyAlignment="1" applyProtection="1">
      <alignment horizontal="center" vertical="center"/>
      <protection hidden="1"/>
    </xf>
    <xf numFmtId="0" fontId="3" fillId="0" borderId="29" xfId="0" quotePrefix="1" applyNumberFormat="1" applyFont="1" applyFill="1" applyBorder="1" applyAlignment="1" applyProtection="1">
      <alignment horizontal="center" vertical="center"/>
      <protection hidden="1"/>
    </xf>
    <xf numFmtId="1" fontId="3" fillId="0" borderId="33" xfId="0" quotePrefix="1" applyNumberFormat="1" applyFont="1" applyFill="1" applyBorder="1" applyAlignment="1" applyProtection="1">
      <alignment horizontal="center" vertical="center"/>
      <protection locked="0" hidden="1"/>
    </xf>
    <xf numFmtId="0" fontId="3" fillId="0" borderId="87" xfId="0" applyNumberFormat="1" applyFont="1" applyFill="1" applyBorder="1" applyAlignment="1" applyProtection="1">
      <alignment horizontal="center" vertical="center"/>
      <protection hidden="1"/>
    </xf>
    <xf numFmtId="0" fontId="3" fillId="0" borderId="78" xfId="0" applyNumberFormat="1" applyFont="1" applyFill="1" applyBorder="1" applyAlignment="1" applyProtection="1">
      <alignment horizontal="center" vertical="center"/>
      <protection hidden="1"/>
    </xf>
    <xf numFmtId="0" fontId="3" fillId="0" borderId="18" xfId="0" applyNumberFormat="1" applyFont="1" applyFill="1" applyBorder="1" applyAlignment="1" applyProtection="1">
      <alignment horizontal="center" vertical="center"/>
      <protection hidden="1"/>
    </xf>
    <xf numFmtId="0" fontId="3" fillId="0" borderId="22" xfId="0" applyFont="1" applyFill="1" applyBorder="1" applyAlignment="1" applyProtection="1">
      <alignment vertical="center"/>
    </xf>
    <xf numFmtId="0" fontId="3" fillId="0" borderId="58" xfId="0" applyNumberFormat="1" applyFont="1" applyFill="1" applyBorder="1" applyAlignment="1" applyProtection="1">
      <alignment horizontal="center" vertical="center"/>
      <protection hidden="1"/>
    </xf>
    <xf numFmtId="0" fontId="3" fillId="0" borderId="28" xfId="0" applyNumberFormat="1" applyFont="1" applyFill="1" applyBorder="1" applyAlignment="1" applyProtection="1">
      <alignment horizontal="center" vertical="center"/>
      <protection hidden="1"/>
    </xf>
    <xf numFmtId="0" fontId="3" fillId="0" borderId="14" xfId="0" applyNumberFormat="1" applyFont="1" applyFill="1" applyBorder="1" applyAlignment="1" applyProtection="1">
      <alignment horizontal="center" vertical="center"/>
      <protection hidden="1"/>
    </xf>
    <xf numFmtId="0" fontId="3" fillId="0" borderId="22" xfId="0" quotePrefix="1" applyNumberFormat="1" applyFont="1" applyFill="1" applyBorder="1" applyAlignment="1" applyProtection="1">
      <alignment horizontal="center" vertical="center"/>
      <protection locked="0" hidden="1"/>
    </xf>
    <xf numFmtId="0" fontId="3" fillId="0" borderId="100" xfId="0" applyFont="1" applyFill="1" applyBorder="1" applyAlignment="1" applyProtection="1">
      <alignment vertical="center"/>
    </xf>
    <xf numFmtId="0" fontId="3" fillId="0" borderId="21" xfId="0" quotePrefix="1" applyNumberFormat="1" applyFont="1" applyFill="1" applyBorder="1" applyAlignment="1" applyProtection="1">
      <alignment horizontal="center" vertical="center"/>
      <protection locked="0" hidden="1"/>
    </xf>
    <xf numFmtId="1" fontId="3" fillId="0" borderId="20" xfId="0" applyNumberFormat="1" applyFont="1" applyFill="1" applyBorder="1" applyAlignment="1" applyProtection="1">
      <alignment horizontal="center" vertical="center"/>
      <protection locked="0" hidden="1"/>
    </xf>
    <xf numFmtId="1" fontId="3" fillId="0" borderId="61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19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33" xfId="0" applyNumberFormat="1" applyFont="1" applyFill="1" applyBorder="1" applyAlignment="1" applyProtection="1">
      <alignment vertical="center"/>
    </xf>
    <xf numFmtId="165" fontId="3" fillId="0" borderId="33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28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1" fontId="3" fillId="0" borderId="28" xfId="0" quotePrefix="1" applyNumberFormat="1" applyFont="1" applyFill="1" applyBorder="1" applyAlignment="1" applyProtection="1">
      <alignment horizontal="center" vertical="center"/>
      <protection locked="0" hidden="1"/>
    </xf>
    <xf numFmtId="0" fontId="3" fillId="0" borderId="92" xfId="0" quotePrefix="1" applyNumberFormat="1" applyFont="1" applyFill="1" applyBorder="1" applyAlignment="1" applyProtection="1">
      <alignment horizontal="center" vertical="center"/>
      <protection locked="0" hidden="1"/>
    </xf>
    <xf numFmtId="165" fontId="3" fillId="0" borderId="21" xfId="0" applyNumberFormat="1" applyFont="1" applyFill="1" applyBorder="1" applyAlignment="1" applyProtection="1">
      <alignment vertical="center"/>
    </xf>
    <xf numFmtId="0" fontId="0" fillId="0" borderId="68" xfId="0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1" fontId="3" fillId="0" borderId="49" xfId="0" quotePrefix="1" applyNumberFormat="1" applyFont="1" applyFill="1" applyBorder="1" applyAlignment="1" applyProtection="1">
      <alignment horizontal="center" vertical="center"/>
      <protection locked="0" hidden="1"/>
    </xf>
    <xf numFmtId="0" fontId="3" fillId="0" borderId="107" xfId="0" applyNumberFormat="1" applyFont="1" applyFill="1" applyBorder="1" applyAlignment="1" applyProtection="1">
      <alignment horizontal="center" vertical="center"/>
      <protection hidden="1"/>
    </xf>
    <xf numFmtId="1" fontId="3" fillId="0" borderId="45" xfId="0" quotePrefix="1" applyNumberFormat="1" applyFont="1" applyFill="1" applyBorder="1" applyAlignment="1" applyProtection="1">
      <alignment horizontal="center" vertical="center"/>
      <protection locked="0" hidden="1"/>
    </xf>
    <xf numFmtId="0" fontId="3" fillId="0" borderId="97" xfId="0" applyNumberFormat="1" applyFont="1" applyFill="1" applyBorder="1" applyAlignment="1" applyProtection="1">
      <alignment horizontal="center" vertical="center"/>
      <protection hidden="1"/>
    </xf>
    <xf numFmtId="0" fontId="3" fillId="0" borderId="37" xfId="0" quotePrefix="1" applyNumberFormat="1" applyFont="1" applyFill="1" applyBorder="1" applyAlignment="1" applyProtection="1">
      <alignment horizontal="center" vertical="center"/>
      <protection locked="0" hidden="1"/>
    </xf>
    <xf numFmtId="0" fontId="3" fillId="0" borderId="108" xfId="0" applyNumberFormat="1" applyFont="1" applyFill="1" applyBorder="1" applyAlignment="1" applyProtection="1">
      <alignment horizontal="center" vertical="center"/>
      <protection hidden="1"/>
    </xf>
    <xf numFmtId="1" fontId="3" fillId="0" borderId="78" xfId="0" quotePrefix="1" applyNumberFormat="1" applyFont="1" applyFill="1" applyBorder="1" applyAlignment="1" applyProtection="1">
      <alignment horizontal="center" vertical="center"/>
      <protection locked="0" hidden="1"/>
    </xf>
    <xf numFmtId="1" fontId="3" fillId="0" borderId="88" xfId="0" quotePrefix="1" applyNumberFormat="1" applyFont="1" applyFill="1" applyBorder="1" applyAlignment="1" applyProtection="1">
      <alignment horizontal="center" vertical="center"/>
      <protection locked="0" hidden="1"/>
    </xf>
    <xf numFmtId="1" fontId="3" fillId="0" borderId="90" xfId="0" quotePrefix="1" applyNumberFormat="1" applyFont="1" applyFill="1" applyBorder="1" applyAlignment="1" applyProtection="1">
      <alignment horizontal="center" vertical="center"/>
      <protection locked="0" hidden="1"/>
    </xf>
    <xf numFmtId="0" fontId="3" fillId="0" borderId="29" xfId="0" quotePrefix="1" applyNumberFormat="1" applyFont="1" applyFill="1" applyBorder="1" applyAlignment="1" applyProtection="1">
      <alignment horizontal="center" vertical="center"/>
      <protection locked="0" hidden="1"/>
    </xf>
    <xf numFmtId="166" fontId="0" fillId="0" borderId="0" xfId="0" applyNumberFormat="1" applyFill="1" applyBorder="1" applyAlignment="1">
      <alignment horizontal="right" vertical="center"/>
    </xf>
    <xf numFmtId="0" fontId="4" fillId="0" borderId="36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1" fontId="3" fillId="0" borderId="50" xfId="0" applyNumberFormat="1" applyFont="1" applyFill="1" applyBorder="1" applyAlignment="1" applyProtection="1">
      <alignment vertical="center"/>
    </xf>
    <xf numFmtId="1" fontId="3" fillId="0" borderId="20" xfId="0" applyNumberFormat="1" applyFont="1" applyFill="1" applyBorder="1" applyAlignment="1" applyProtection="1">
      <alignment horizontal="center" vertical="center"/>
    </xf>
    <xf numFmtId="1" fontId="3" fillId="0" borderId="13" xfId="0" applyNumberFormat="1" applyFont="1" applyFill="1" applyBorder="1" applyAlignment="1" applyProtection="1">
      <alignment horizontal="center" vertical="center"/>
    </xf>
    <xf numFmtId="1" fontId="3" fillId="0" borderId="59" xfId="0" applyNumberFormat="1" applyFont="1" applyFill="1" applyBorder="1" applyAlignment="1" applyProtection="1">
      <alignment horizontal="center" vertical="center"/>
    </xf>
    <xf numFmtId="165" fontId="3" fillId="0" borderId="22" xfId="0" applyNumberFormat="1" applyFont="1" applyFill="1" applyBorder="1" applyAlignment="1" applyProtection="1">
      <alignment horizontal="center" vertical="center"/>
    </xf>
    <xf numFmtId="165" fontId="3" fillId="0" borderId="14" xfId="0" applyNumberFormat="1" applyFont="1" applyFill="1" applyBorder="1" applyAlignment="1" applyProtection="1">
      <alignment horizontal="center" vertical="center"/>
    </xf>
    <xf numFmtId="165" fontId="3" fillId="0" borderId="58" xfId="0" applyNumberFormat="1" applyFont="1" applyFill="1" applyBorder="1" applyAlignment="1" applyProtection="1">
      <alignment horizontal="center" vertical="center"/>
    </xf>
    <xf numFmtId="0" fontId="4" fillId="0" borderId="62" xfId="0" applyFont="1" applyFill="1" applyBorder="1" applyAlignment="1" applyProtection="1">
      <alignment vertical="center"/>
    </xf>
    <xf numFmtId="0" fontId="3" fillId="0" borderId="34" xfId="0" applyNumberFormat="1" applyFont="1" applyFill="1" applyBorder="1" applyAlignment="1" applyProtection="1">
      <alignment horizontal="center" vertical="center"/>
    </xf>
    <xf numFmtId="0" fontId="3" fillId="0" borderId="77" xfId="0" applyNumberFormat="1" applyFont="1" applyFill="1" applyBorder="1" applyAlignment="1" applyProtection="1">
      <alignment horizontal="center" vertical="center"/>
    </xf>
    <xf numFmtId="0" fontId="3" fillId="0" borderId="38" xfId="0" applyNumberFormat="1" applyFont="1" applyFill="1" applyBorder="1" applyAlignment="1" applyProtection="1">
      <alignment horizontal="center" vertical="center"/>
    </xf>
    <xf numFmtId="1" fontId="3" fillId="0" borderId="45" xfId="0" applyNumberFormat="1" applyFont="1" applyFill="1" applyBorder="1" applyAlignment="1" applyProtection="1">
      <alignment vertical="center"/>
    </xf>
    <xf numFmtId="1" fontId="3" fillId="0" borderId="22" xfId="0" applyNumberFormat="1" applyFont="1" applyFill="1" applyBorder="1" applyAlignment="1" applyProtection="1">
      <alignment horizontal="center" vertical="center"/>
    </xf>
    <xf numFmtId="1" fontId="3" fillId="0" borderId="58" xfId="0" applyNumberFormat="1" applyFont="1" applyFill="1" applyBorder="1" applyAlignment="1" applyProtection="1">
      <alignment horizontal="center" vertical="center"/>
    </xf>
    <xf numFmtId="1" fontId="3" fillId="0" borderId="21" xfId="0" applyNumberFormat="1" applyFont="1" applyFill="1" applyBorder="1" applyAlignment="1" applyProtection="1">
      <alignment horizontal="center" vertical="center"/>
    </xf>
    <xf numFmtId="1" fontId="3" fillId="0" borderId="73" xfId="0" applyNumberFormat="1" applyFont="1" applyFill="1" applyBorder="1" applyAlignment="1" applyProtection="1">
      <alignment horizontal="center" vertical="center"/>
    </xf>
    <xf numFmtId="165" fontId="3" fillId="0" borderId="21" xfId="0" applyNumberFormat="1" applyFont="1" applyFill="1" applyBorder="1" applyAlignment="1" applyProtection="1">
      <alignment horizontal="center" vertical="center"/>
    </xf>
    <xf numFmtId="165" fontId="3" fillId="0" borderId="37" xfId="0" applyNumberFormat="1" applyFont="1" applyFill="1" applyBorder="1" applyAlignment="1" applyProtection="1">
      <alignment vertical="center"/>
    </xf>
    <xf numFmtId="1" fontId="3" fillId="0" borderId="21" xfId="0" quotePrefix="1" applyNumberFormat="1" applyFont="1" applyFill="1" applyBorder="1" applyAlignment="1" applyProtection="1">
      <alignment horizontal="center" vertical="center"/>
    </xf>
    <xf numFmtId="1" fontId="4" fillId="0" borderId="36" xfId="0" applyNumberFormat="1" applyFont="1" applyFill="1" applyBorder="1" applyAlignment="1" applyProtection="1">
      <alignment vertical="center"/>
    </xf>
    <xf numFmtId="165" fontId="3" fillId="0" borderId="45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2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3" fillId="0" borderId="109" xfId="0" applyNumberFormat="1" applyFont="1" applyFill="1" applyBorder="1" applyAlignment="1" applyProtection="1">
      <alignment vertical="center"/>
    </xf>
    <xf numFmtId="165" fontId="4" fillId="0" borderId="36" xfId="0" applyNumberFormat="1" applyFont="1" applyFill="1" applyBorder="1" applyAlignment="1" applyProtection="1">
      <alignment vertical="center"/>
    </xf>
    <xf numFmtId="165" fontId="4" fillId="0" borderId="36" xfId="0" applyNumberFormat="1" applyFont="1" applyFill="1" applyBorder="1" applyAlignment="1" applyProtection="1">
      <alignment horizontal="center" vertical="center"/>
    </xf>
    <xf numFmtId="165" fontId="4" fillId="0" borderId="27" xfId="0" applyNumberFormat="1" applyFont="1" applyFill="1" applyBorder="1" applyAlignment="1" applyProtection="1">
      <alignment horizontal="center" vertical="center"/>
    </xf>
    <xf numFmtId="165" fontId="4" fillId="0" borderId="34" xfId="0" applyNumberFormat="1" applyFont="1" applyFill="1" applyBorder="1" applyAlignment="1" applyProtection="1">
      <alignment horizontal="center" vertical="center"/>
    </xf>
    <xf numFmtId="165" fontId="3" fillId="0" borderId="33" xfId="0" quotePrefix="1" applyNumberFormat="1" applyFont="1" applyFill="1" applyBorder="1" applyAlignment="1" applyProtection="1">
      <alignment horizontal="center" vertical="center"/>
    </xf>
    <xf numFmtId="165" fontId="3" fillId="0" borderId="87" xfId="0" applyNumberFormat="1" applyFont="1" applyFill="1" applyBorder="1" applyAlignment="1" applyProtection="1">
      <alignment horizontal="center" vertical="center"/>
    </xf>
    <xf numFmtId="0" fontId="3" fillId="0" borderId="109" xfId="0" applyFont="1" applyFill="1" applyBorder="1" applyAlignment="1" applyProtection="1">
      <alignment vertical="center"/>
    </xf>
    <xf numFmtId="165" fontId="3" fillId="0" borderId="83" xfId="0" applyNumberFormat="1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vertical="center"/>
    </xf>
    <xf numFmtId="165" fontId="3" fillId="0" borderId="13" xfId="0" applyNumberFormat="1" applyFont="1" applyFill="1" applyBorder="1" applyAlignment="1" applyProtection="1">
      <alignment horizontal="center" vertical="center"/>
    </xf>
    <xf numFmtId="165" fontId="3" fillId="0" borderId="59" xfId="0" applyNumberFormat="1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vertical="center"/>
    </xf>
    <xf numFmtId="165" fontId="3" fillId="0" borderId="14" xfId="0" quotePrefix="1" applyNumberFormat="1" applyFont="1" applyFill="1" applyBorder="1" applyAlignment="1" applyProtection="1">
      <alignment horizontal="center" vertical="center"/>
    </xf>
    <xf numFmtId="165" fontId="3" fillId="0" borderId="111" xfId="0" applyNumberFormat="1" applyFont="1" applyFill="1" applyBorder="1" applyAlignment="1" applyProtection="1">
      <alignment horizontal="center" vertical="center"/>
    </xf>
    <xf numFmtId="165" fontId="3" fillId="0" borderId="68" xfId="0" applyNumberFormat="1" applyFont="1" applyFill="1" applyBorder="1" applyAlignment="1" applyProtection="1">
      <alignment horizontal="center" vertical="center"/>
    </xf>
    <xf numFmtId="165" fontId="3" fillId="0" borderId="82" xfId="0" applyNumberFormat="1" applyFont="1" applyFill="1" applyBorder="1" applyAlignment="1" applyProtection="1">
      <alignment horizontal="center" vertical="center"/>
    </xf>
    <xf numFmtId="1" fontId="0" fillId="0" borderId="61" xfId="0" applyNumberForma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49" xfId="0" applyFill="1" applyBorder="1" applyAlignment="1">
      <alignment vertical="center"/>
    </xf>
    <xf numFmtId="0" fontId="4" fillId="0" borderId="37" xfId="0" applyFont="1" applyFill="1" applyBorder="1" applyAlignment="1" applyProtection="1">
      <alignment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9" xfId="0" applyNumberFormat="1" applyFont="1" applyFill="1" applyBorder="1" applyAlignment="1" applyProtection="1">
      <alignment horizontal="center" vertical="center"/>
    </xf>
    <xf numFmtId="0" fontId="3" fillId="0" borderId="29" xfId="0" quotePrefix="1" applyNumberFormat="1" applyFont="1" applyFill="1" applyBorder="1" applyAlignment="1" applyProtection="1">
      <alignment horizontal="center" vertical="center"/>
    </xf>
    <xf numFmtId="0" fontId="3" fillId="0" borderId="73" xfId="0" quotePrefix="1" applyNumberFormat="1" applyFont="1" applyFill="1" applyBorder="1" applyAlignment="1" applyProtection="1">
      <alignment horizontal="center" vertical="center"/>
    </xf>
    <xf numFmtId="0" fontId="3" fillId="0" borderId="50" xfId="0" quotePrefix="1" applyFont="1" applyFill="1" applyBorder="1" applyAlignment="1" applyProtection="1">
      <alignment horizontal="center" vertical="center"/>
    </xf>
    <xf numFmtId="0" fontId="3" fillId="0" borderId="20" xfId="0" quotePrefix="1" applyFont="1" applyFill="1" applyBorder="1" applyAlignment="1" applyProtection="1">
      <alignment horizontal="center" vertical="center"/>
    </xf>
    <xf numFmtId="0" fontId="3" fillId="0" borderId="59" xfId="0" applyNumberFormat="1" applyFont="1" applyFill="1" applyBorder="1" applyAlignment="1" applyProtection="1">
      <alignment horizontal="center" vertical="center"/>
    </xf>
    <xf numFmtId="0" fontId="3" fillId="0" borderId="13" xfId="0" quotePrefix="1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45" xfId="0" quotePrefix="1" applyFont="1" applyFill="1" applyBorder="1" applyAlignment="1" applyProtection="1">
      <alignment horizontal="center" vertical="center"/>
    </xf>
    <xf numFmtId="0" fontId="3" fillId="0" borderId="22" xfId="0" quotePrefix="1" applyFont="1" applyFill="1" applyBorder="1" applyAlignment="1" applyProtection="1">
      <alignment horizontal="center" vertical="center"/>
    </xf>
    <xf numFmtId="0" fontId="3" fillId="0" borderId="58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94" xfId="0" quotePrefix="1" applyNumberFormat="1" applyFont="1" applyFill="1" applyBorder="1" applyAlignment="1" applyProtection="1">
      <alignment horizontal="center" vertical="center"/>
    </xf>
    <xf numFmtId="0" fontId="3" fillId="0" borderId="90" xfId="0" applyNumberFormat="1" applyFont="1" applyFill="1" applyBorder="1" applyAlignment="1" applyProtection="1">
      <alignment horizontal="center" vertical="center"/>
    </xf>
    <xf numFmtId="0" fontId="3" fillId="0" borderId="112" xfId="0" applyFont="1" applyFill="1" applyBorder="1" applyAlignment="1" applyProtection="1">
      <alignment vertical="center"/>
    </xf>
    <xf numFmtId="0" fontId="3" fillId="0" borderId="112" xfId="0" quotePrefix="1" applyFont="1" applyFill="1" applyBorder="1" applyAlignment="1" applyProtection="1">
      <alignment horizontal="center" vertical="center"/>
    </xf>
    <xf numFmtId="0" fontId="3" fillId="0" borderId="100" xfId="0" quotePrefix="1" applyFont="1" applyFill="1" applyBorder="1" applyAlignment="1" applyProtection="1">
      <alignment horizontal="center" vertical="center"/>
    </xf>
    <xf numFmtId="0" fontId="3" fillId="0" borderId="102" xfId="0" applyNumberFormat="1" applyFont="1" applyFill="1" applyBorder="1" applyAlignment="1" applyProtection="1">
      <alignment horizontal="center" vertical="center"/>
    </xf>
    <xf numFmtId="0" fontId="3" fillId="0" borderId="113" xfId="0" applyNumberFormat="1" applyFont="1" applyFill="1" applyBorder="1" applyAlignment="1" applyProtection="1">
      <alignment horizontal="center" vertical="center"/>
    </xf>
    <xf numFmtId="0" fontId="3" fillId="0" borderId="101" xfId="0" applyNumberFormat="1" applyFont="1" applyFill="1" applyBorder="1" applyAlignment="1" applyProtection="1">
      <alignment horizontal="center" vertical="center"/>
    </xf>
    <xf numFmtId="1" fontId="4" fillId="0" borderId="36" xfId="0" applyNumberFormat="1" applyFont="1" applyFill="1" applyBorder="1" applyAlignment="1" applyProtection="1">
      <alignment horizontal="right" vertical="center"/>
      <protection hidden="1"/>
    </xf>
    <xf numFmtId="2" fontId="0" fillId="0" borderId="0" xfId="0" applyNumberFormat="1" applyFill="1" applyBorder="1" applyAlignment="1">
      <alignment vertical="center"/>
    </xf>
    <xf numFmtId="1" fontId="3" fillId="0" borderId="61" xfId="0" applyNumberFormat="1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vertical="center"/>
    </xf>
    <xf numFmtId="165" fontId="3" fillId="0" borderId="83" xfId="0" quotePrefix="1" applyNumberFormat="1" applyFont="1" applyFill="1" applyBorder="1" applyAlignment="1" applyProtection="1">
      <alignment horizontal="center" vertical="center"/>
    </xf>
    <xf numFmtId="1" fontId="3" fillId="0" borderId="85" xfId="0" applyNumberFormat="1" applyFont="1" applyFill="1" applyBorder="1" applyAlignment="1" applyProtection="1">
      <alignment vertical="center"/>
    </xf>
    <xf numFmtId="1" fontId="3" fillId="0" borderId="103" xfId="0" applyNumberFormat="1" applyFont="1" applyFill="1" applyBorder="1" applyAlignment="1" applyProtection="1">
      <alignment vertical="center"/>
    </xf>
    <xf numFmtId="165" fontId="3" fillId="0" borderId="108" xfId="0" quotePrefix="1" applyNumberFormat="1" applyFont="1" applyFill="1" applyBorder="1" applyAlignment="1" applyProtection="1">
      <alignment horizontal="center" vertical="center"/>
      <protection hidden="1"/>
    </xf>
    <xf numFmtId="165" fontId="3" fillId="0" borderId="13" xfId="0" quotePrefix="1" applyNumberFormat="1" applyFont="1" applyFill="1" applyBorder="1" applyAlignment="1" applyProtection="1">
      <alignment horizontal="center" vertical="center"/>
    </xf>
    <xf numFmtId="164" fontId="3" fillId="0" borderId="17" xfId="0" quotePrefix="1" applyNumberFormat="1" applyFont="1" applyFill="1" applyBorder="1" applyAlignment="1" applyProtection="1">
      <alignment horizontal="center" vertical="center"/>
      <protection hidden="1"/>
    </xf>
    <xf numFmtId="0" fontId="4" fillId="0" borderId="75" xfId="0" applyNumberFormat="1" applyFont="1" applyFill="1" applyBorder="1" applyAlignment="1" applyProtection="1">
      <alignment horizontal="right" vertical="center"/>
      <protection hidden="1"/>
    </xf>
    <xf numFmtId="0" fontId="3" fillId="0" borderId="0" xfId="0" quotePrefix="1" applyNumberFormat="1" applyFont="1" applyFill="1" applyBorder="1" applyAlignment="1" applyProtection="1">
      <alignment horizontal="center" vertical="center"/>
    </xf>
    <xf numFmtId="1" fontId="3" fillId="0" borderId="117" xfId="0" applyNumberFormat="1" applyFont="1" applyFill="1" applyBorder="1" applyAlignment="1" applyProtection="1">
      <alignment horizontal="center" vertical="center"/>
      <protection hidden="1"/>
    </xf>
    <xf numFmtId="1" fontId="3" fillId="0" borderId="118" xfId="0" applyNumberFormat="1" applyFont="1" applyFill="1" applyBorder="1" applyAlignment="1" applyProtection="1">
      <alignment horizontal="center" vertical="center"/>
      <protection hidden="1"/>
    </xf>
    <xf numFmtId="1" fontId="3" fillId="0" borderId="116" xfId="0" applyNumberFormat="1" applyFont="1" applyFill="1" applyBorder="1" applyAlignment="1" applyProtection="1">
      <alignment horizontal="center" vertical="center"/>
      <protection hidden="1"/>
    </xf>
    <xf numFmtId="1" fontId="3" fillId="0" borderId="119" xfId="0" applyNumberFormat="1" applyFont="1" applyFill="1" applyBorder="1" applyAlignment="1" applyProtection="1">
      <alignment horizontal="center" vertical="center"/>
      <protection hidden="1"/>
    </xf>
    <xf numFmtId="165" fontId="3" fillId="0" borderId="118" xfId="0" applyNumberFormat="1" applyFont="1" applyFill="1" applyBorder="1" applyAlignment="1" applyProtection="1">
      <alignment horizontal="center" vertical="center"/>
      <protection hidden="1"/>
    </xf>
    <xf numFmtId="0" fontId="3" fillId="0" borderId="120" xfId="0" applyNumberFormat="1" applyFont="1" applyFill="1" applyBorder="1" applyAlignment="1" applyProtection="1">
      <alignment horizontal="center" vertical="center"/>
      <protection hidden="1"/>
    </xf>
    <xf numFmtId="1" fontId="3" fillId="0" borderId="121" xfId="0" applyNumberFormat="1" applyFont="1" applyFill="1" applyBorder="1" applyAlignment="1" applyProtection="1">
      <alignment horizontal="center" vertical="center"/>
      <protection hidden="1"/>
    </xf>
    <xf numFmtId="1" fontId="3" fillId="0" borderId="122" xfId="0" applyNumberFormat="1" applyFont="1" applyFill="1" applyBorder="1" applyAlignment="1" applyProtection="1">
      <alignment horizontal="center" vertical="center"/>
      <protection hidden="1"/>
    </xf>
    <xf numFmtId="0" fontId="3" fillId="0" borderId="116" xfId="0" applyNumberFormat="1" applyFont="1" applyFill="1" applyBorder="1" applyAlignment="1" applyProtection="1">
      <alignment horizontal="center" vertical="center"/>
      <protection hidden="1"/>
    </xf>
    <xf numFmtId="0" fontId="3" fillId="0" borderId="122" xfId="0" applyNumberFormat="1" applyFont="1" applyFill="1" applyBorder="1" applyAlignment="1" applyProtection="1">
      <alignment horizontal="center" vertical="center"/>
      <protection hidden="1"/>
    </xf>
    <xf numFmtId="1" fontId="3" fillId="0" borderId="123" xfId="0" applyNumberFormat="1" applyFont="1" applyFill="1" applyBorder="1" applyAlignment="1" applyProtection="1">
      <alignment horizontal="center" vertical="center"/>
      <protection hidden="1"/>
    </xf>
    <xf numFmtId="165" fontId="3" fillId="0" borderId="124" xfId="0" applyNumberFormat="1" applyFont="1" applyFill="1" applyBorder="1" applyAlignment="1" applyProtection="1">
      <alignment horizontal="center" vertical="center"/>
      <protection hidden="1"/>
    </xf>
    <xf numFmtId="0" fontId="3" fillId="0" borderId="125" xfId="0" quotePrefix="1" applyNumberFormat="1" applyFont="1" applyFill="1" applyBorder="1" applyAlignment="1" applyProtection="1">
      <alignment horizontal="center" vertical="center"/>
      <protection hidden="1"/>
    </xf>
    <xf numFmtId="0" fontId="3" fillId="0" borderId="126" xfId="0" applyNumberFormat="1" applyFont="1" applyFill="1" applyBorder="1" applyAlignment="1" applyProtection="1">
      <alignment horizontal="center" vertical="center"/>
      <protection hidden="1"/>
    </xf>
    <xf numFmtId="16" fontId="0" fillId="0" borderId="0" xfId="0" applyNumberForma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center"/>
    </xf>
    <xf numFmtId="0" fontId="3" fillId="0" borderId="104" xfId="0" quotePrefix="1" applyNumberFormat="1" applyFont="1" applyFill="1" applyBorder="1" applyAlignment="1" applyProtection="1">
      <alignment horizontal="center" vertical="center"/>
      <protection hidden="1"/>
    </xf>
    <xf numFmtId="1" fontId="1" fillId="0" borderId="0" xfId="0" applyNumberFormat="1" applyFont="1" applyFill="1" applyBorder="1"/>
    <xf numFmtId="0" fontId="3" fillId="0" borderId="34" xfId="0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 applyProtection="1">
      <alignment horizontal="center" vertical="center"/>
    </xf>
    <xf numFmtId="16" fontId="3" fillId="0" borderId="0" xfId="0" applyNumberFormat="1" applyFont="1" applyFill="1" applyBorder="1" applyAlignment="1">
      <alignment horizontal="center" vertical="center"/>
    </xf>
    <xf numFmtId="16" fontId="3" fillId="0" borderId="17" xfId="0" applyNumberFormat="1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31" xfId="0" applyFont="1" applyFill="1" applyBorder="1" applyAlignment="1" applyProtection="1">
      <alignment vertical="center"/>
    </xf>
    <xf numFmtId="1" fontId="4" fillId="0" borderId="49" xfId="0" applyNumberFormat="1" applyFont="1" applyFill="1" applyBorder="1" applyAlignment="1" applyProtection="1">
      <alignment vertical="center"/>
    </xf>
    <xf numFmtId="1" fontId="4" fillId="0" borderId="19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vertical="center"/>
    </xf>
    <xf numFmtId="1" fontId="4" fillId="0" borderId="6" xfId="0" applyNumberFormat="1" applyFont="1" applyFill="1" applyBorder="1" applyAlignment="1" applyProtection="1">
      <alignment vertical="center"/>
    </xf>
    <xf numFmtId="0" fontId="0" fillId="0" borderId="49" xfId="0" applyFill="1" applyBorder="1" applyAlignment="1">
      <alignment horizontal="right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3" fillId="0" borderId="60" xfId="0" quotePrefix="1" applyNumberFormat="1" applyFont="1" applyFill="1" applyBorder="1" applyAlignment="1" applyProtection="1">
      <alignment horizontal="center" vertical="center"/>
    </xf>
    <xf numFmtId="0" fontId="3" fillId="0" borderId="28" xfId="0" applyNumberFormat="1" applyFont="1" applyFill="1" applyBorder="1" applyAlignment="1" applyProtection="1">
      <alignment horizontal="center" vertical="center"/>
    </xf>
    <xf numFmtId="0" fontId="3" fillId="0" borderId="99" xfId="0" applyNumberFormat="1" applyFont="1" applyFill="1" applyBorder="1" applyAlignment="1" applyProtection="1">
      <alignment horizontal="center" vertical="center"/>
    </xf>
    <xf numFmtId="165" fontId="3" fillId="0" borderId="28" xfId="0" quotePrefix="1" applyNumberFormat="1" applyFont="1" applyFill="1" applyBorder="1" applyAlignment="1" applyProtection="1">
      <alignment horizontal="center" vertical="center"/>
    </xf>
    <xf numFmtId="0" fontId="3" fillId="0" borderId="37" xfId="0" quotePrefix="1" applyFont="1" applyFill="1" applyBorder="1" applyAlignment="1" applyProtection="1">
      <alignment horizontal="center" vertical="center"/>
    </xf>
    <xf numFmtId="0" fontId="3" fillId="0" borderId="21" xfId="0" quotePrefix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92" xfId="0" applyNumberFormat="1" applyFont="1" applyFill="1" applyBorder="1" applyAlignment="1" applyProtection="1">
      <alignment horizontal="center" vertical="center"/>
    </xf>
    <xf numFmtId="0" fontId="29" fillId="0" borderId="9" xfId="0" applyNumberFormat="1" applyFont="1" applyFill="1" applyBorder="1" applyAlignment="1" applyProtection="1">
      <alignment horizontal="center" textRotation="90"/>
    </xf>
    <xf numFmtId="0" fontId="3" fillId="0" borderId="9" xfId="0" applyNumberFormat="1" applyFont="1" applyFill="1" applyBorder="1" applyAlignment="1" applyProtection="1">
      <alignment horizontal="center" textRotation="90" wrapText="1"/>
    </xf>
    <xf numFmtId="0" fontId="3" fillId="0" borderId="26" xfId="0" applyNumberFormat="1" applyFont="1" applyFill="1" applyBorder="1" applyAlignment="1" applyProtection="1">
      <alignment horizontal="center" vertical="center" wrapText="1"/>
    </xf>
    <xf numFmtId="0" fontId="3" fillId="0" borderId="130" xfId="0" applyNumberFormat="1" applyFont="1" applyFill="1" applyBorder="1" applyAlignment="1" applyProtection="1">
      <alignment horizontal="center" textRotation="90" shrinkToFit="1"/>
      <protection hidden="1"/>
    </xf>
    <xf numFmtId="0" fontId="3" fillId="0" borderId="35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82" xfId="0" applyNumberFormat="1" applyFont="1" applyFill="1" applyBorder="1" applyAlignment="1" applyProtection="1">
      <alignment horizontal="center" vertical="center"/>
      <protection hidden="1"/>
    </xf>
    <xf numFmtId="1" fontId="3" fillId="0" borderId="83" xfId="0" applyNumberFormat="1" applyFont="1" applyFill="1" applyBorder="1" applyAlignment="1" applyProtection="1">
      <alignment horizontal="center" vertical="center"/>
      <protection hidden="1"/>
    </xf>
    <xf numFmtId="1" fontId="3" fillId="0" borderId="15" xfId="0" applyNumberFormat="1" applyFont="1" applyFill="1" applyBorder="1" applyAlignment="1" applyProtection="1">
      <alignment horizontal="center" vertical="center"/>
      <protection hidden="1"/>
    </xf>
    <xf numFmtId="1" fontId="3" fillId="0" borderId="29" xfId="0" applyNumberFormat="1" applyFont="1" applyFill="1" applyBorder="1" applyAlignment="1" applyProtection="1">
      <alignment horizontal="center" vertical="center"/>
      <protection locked="0" hidden="1"/>
    </xf>
    <xf numFmtId="1" fontId="3" fillId="0" borderId="92" xfId="0" applyNumberFormat="1" applyFont="1" applyFill="1" applyBorder="1" applyAlignment="1" applyProtection="1">
      <alignment horizontal="center" vertical="center"/>
      <protection locked="0" hidden="1"/>
    </xf>
    <xf numFmtId="1" fontId="3" fillId="0" borderId="106" xfId="0" applyNumberFormat="1" applyFont="1" applyFill="1" applyBorder="1" applyAlignment="1" applyProtection="1">
      <alignment horizontal="center" vertical="center"/>
      <protection hidden="1"/>
    </xf>
    <xf numFmtId="165" fontId="3" fillId="0" borderId="34" xfId="0" applyNumberFormat="1" applyFont="1" applyFill="1" applyBorder="1" applyAlignment="1" applyProtection="1">
      <alignment horizontal="center" vertical="center"/>
      <protection hidden="1"/>
    </xf>
    <xf numFmtId="0" fontId="3" fillId="0" borderId="28" xfId="0" applyNumberFormat="1" applyFont="1" applyFill="1" applyBorder="1" applyAlignment="1" applyProtection="1">
      <alignment horizontal="center" vertical="center"/>
      <protection locked="0" hidden="1"/>
    </xf>
    <xf numFmtId="0" fontId="3" fillId="0" borderId="90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3" fillId="0" borderId="58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58" xfId="0" applyNumberFormat="1" applyFont="1" applyFill="1" applyBorder="1" applyAlignment="1" applyProtection="1">
      <alignment horizontal="center" vertical="center"/>
      <protection hidden="1"/>
    </xf>
    <xf numFmtId="165" fontId="3" fillId="0" borderId="28" xfId="0" quotePrefix="1" applyNumberFormat="1" applyFont="1" applyFill="1" applyBorder="1" applyAlignment="1" applyProtection="1">
      <alignment horizontal="center" vertical="center"/>
      <protection locked="0" hidden="1"/>
    </xf>
    <xf numFmtId="165" fontId="3" fillId="0" borderId="90" xfId="0" quotePrefix="1" applyNumberFormat="1" applyFont="1" applyFill="1" applyBorder="1" applyAlignment="1" applyProtection="1">
      <alignment horizontal="center" vertical="center"/>
      <protection locked="0" hidden="1"/>
    </xf>
    <xf numFmtId="165" fontId="3" fillId="0" borderId="28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29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92" xfId="0" quotePrefix="1" applyNumberFormat="1" applyFont="1" applyFill="1" applyBorder="1" applyAlignment="1" applyProtection="1">
      <alignment horizontal="center" vertical="center"/>
      <protection locked="0" hidden="1"/>
    </xf>
    <xf numFmtId="1" fontId="3" fillId="0" borderId="104" xfId="0" applyNumberFormat="1" applyFont="1" applyFill="1" applyBorder="1" applyAlignment="1" applyProtection="1">
      <alignment horizontal="center" vertical="center"/>
      <protection hidden="1"/>
    </xf>
    <xf numFmtId="1" fontId="3" fillId="0" borderId="105" xfId="0" applyNumberFormat="1" applyFont="1" applyFill="1" applyBorder="1" applyAlignment="1" applyProtection="1">
      <alignment horizontal="center" vertical="center"/>
      <protection hidden="1"/>
    </xf>
    <xf numFmtId="1" fontId="3" fillId="0" borderId="7" xfId="0" applyNumberFormat="1" applyFont="1" applyFill="1" applyBorder="1" applyAlignment="1" applyProtection="1">
      <alignment horizontal="center" vertical="center"/>
      <protection hidden="1"/>
    </xf>
    <xf numFmtId="1" fontId="3" fillId="0" borderId="131" xfId="0" applyNumberFormat="1" applyFont="1" applyFill="1" applyBorder="1" applyAlignment="1" applyProtection="1">
      <alignment horizontal="center" vertical="center"/>
      <protection hidden="1"/>
    </xf>
    <xf numFmtId="165" fontId="3" fillId="0" borderId="105" xfId="0" applyNumberFormat="1" applyFont="1" applyFill="1" applyBorder="1" applyAlignment="1" applyProtection="1">
      <alignment horizontal="center" vertical="center"/>
      <protection hidden="1"/>
    </xf>
    <xf numFmtId="165" fontId="3" fillId="0" borderId="29" xfId="0" applyNumberFormat="1" applyFont="1" applyFill="1" applyBorder="1" applyAlignment="1" applyProtection="1">
      <alignment horizontal="center" vertical="center"/>
      <protection hidden="1"/>
    </xf>
    <xf numFmtId="165" fontId="3" fillId="0" borderId="106" xfId="0" applyNumberFormat="1" applyFont="1" applyFill="1" applyBorder="1" applyAlignment="1" applyProtection="1">
      <alignment horizontal="center" vertical="center"/>
      <protection hidden="1"/>
    </xf>
    <xf numFmtId="165" fontId="3" fillId="0" borderId="18" xfId="0" applyNumberFormat="1" applyFont="1" applyFill="1" applyBorder="1" applyAlignment="1" applyProtection="1">
      <alignment horizontal="center" vertical="center"/>
      <protection hidden="1"/>
    </xf>
    <xf numFmtId="165" fontId="3" fillId="0" borderId="87" xfId="0" applyNumberFormat="1" applyFont="1" applyFill="1" applyBorder="1" applyAlignment="1" applyProtection="1">
      <alignment horizontal="center" vertical="center"/>
      <protection hidden="1"/>
    </xf>
    <xf numFmtId="1" fontId="3" fillId="0" borderId="60" xfId="0" applyNumberFormat="1" applyFont="1" applyFill="1" applyBorder="1" applyAlignment="1" applyProtection="1">
      <alignment horizontal="center" vertical="center"/>
      <protection locked="0" hidden="1"/>
    </xf>
    <xf numFmtId="1" fontId="3" fillId="0" borderId="94" xfId="0" applyNumberFormat="1" applyFont="1" applyFill="1" applyBorder="1" applyAlignment="1" applyProtection="1">
      <alignment horizontal="center" vertical="center"/>
      <protection locked="0" hidden="1"/>
    </xf>
    <xf numFmtId="1" fontId="3" fillId="0" borderId="28" xfId="0" applyNumberFormat="1" applyFont="1" applyFill="1" applyBorder="1" applyAlignment="1" applyProtection="1">
      <alignment horizontal="center" vertical="center"/>
      <protection locked="0" hidden="1"/>
    </xf>
    <xf numFmtId="1" fontId="3" fillId="0" borderId="90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90" xfId="0" applyNumberFormat="1" applyFont="1" applyFill="1" applyBorder="1" applyAlignment="1" applyProtection="1">
      <alignment horizontal="center" vertical="center"/>
      <protection locked="0" hidden="1"/>
    </xf>
    <xf numFmtId="1" fontId="3" fillId="0" borderId="68" xfId="0" applyNumberFormat="1" applyFont="1" applyFill="1" applyBorder="1" applyAlignment="1" applyProtection="1">
      <alignment horizontal="center" vertical="center"/>
      <protection locked="0" hidden="1"/>
    </xf>
    <xf numFmtId="1" fontId="3" fillId="0" borderId="110" xfId="0" applyNumberFormat="1" applyFont="1" applyFill="1" applyBorder="1" applyAlignment="1" applyProtection="1">
      <alignment horizontal="center" vertical="center"/>
      <protection locked="0" hidden="1"/>
    </xf>
    <xf numFmtId="1" fontId="3" fillId="0" borderId="16" xfId="0" applyNumberFormat="1" applyFont="1" applyFill="1" applyBorder="1" applyAlignment="1" applyProtection="1">
      <alignment horizontal="center" vertical="center"/>
      <protection hidden="1"/>
    </xf>
    <xf numFmtId="165" fontId="3" fillId="0" borderId="0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25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15" xfId="0" applyNumberFormat="1" applyFont="1" applyFill="1" applyBorder="1" applyAlignment="1" applyProtection="1">
      <alignment horizontal="center" vertical="center"/>
      <protection hidden="1"/>
    </xf>
    <xf numFmtId="165" fontId="3" fillId="0" borderId="78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88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92" xfId="0" applyNumberFormat="1" applyFont="1" applyFill="1" applyBorder="1" applyAlignment="1" applyProtection="1">
      <alignment horizontal="center" vertical="center"/>
      <protection locked="0" hidden="1"/>
    </xf>
    <xf numFmtId="1" fontId="3" fillId="0" borderId="0" xfId="0" applyNumberFormat="1" applyFont="1" applyFill="1" applyBorder="1" applyAlignment="1" applyProtection="1">
      <alignment horizontal="center" vertical="center"/>
      <protection locked="0" hidden="1"/>
    </xf>
    <xf numFmtId="1" fontId="3" fillId="0" borderId="25" xfId="0" applyNumberFormat="1" applyFont="1" applyFill="1" applyBorder="1" applyAlignment="1" applyProtection="1">
      <alignment horizontal="center" vertical="center"/>
      <protection locked="0" hidden="1"/>
    </xf>
    <xf numFmtId="1" fontId="3" fillId="0" borderId="93" xfId="0" applyNumberFormat="1" applyFont="1" applyFill="1" applyBorder="1" applyAlignment="1" applyProtection="1">
      <alignment horizontal="center" vertical="center"/>
      <protection hidden="1"/>
    </xf>
    <xf numFmtId="1" fontId="3" fillId="0" borderId="14" xfId="0" applyNumberFormat="1" applyFont="1" applyFill="1" applyBorder="1" applyAlignment="1" applyProtection="1">
      <alignment horizontal="center" vertical="center"/>
    </xf>
    <xf numFmtId="1" fontId="3" fillId="0" borderId="6" xfId="0" applyNumberFormat="1" applyFont="1" applyFill="1" applyBorder="1" applyAlignment="1" applyProtection="1">
      <alignment horizontal="center" vertical="center"/>
    </xf>
    <xf numFmtId="1" fontId="3" fillId="0" borderId="83" xfId="0" applyNumberFormat="1" applyFont="1" applyFill="1" applyBorder="1" applyAlignment="1" applyProtection="1">
      <alignment horizontal="center" vertical="center"/>
    </xf>
    <xf numFmtId="1" fontId="3" fillId="0" borderId="14" xfId="0" quotePrefix="1" applyNumberFormat="1" applyFont="1" applyFill="1" applyBorder="1" applyAlignment="1" applyProtection="1">
      <alignment horizontal="center" vertical="center"/>
    </xf>
    <xf numFmtId="165" fontId="3" fillId="0" borderId="18" xfId="0" applyNumberFormat="1" applyFont="1" applyFill="1" applyBorder="1" applyAlignment="1" applyProtection="1">
      <alignment horizontal="center" vertical="center"/>
    </xf>
    <xf numFmtId="165" fontId="3" fillId="0" borderId="133" xfId="0" applyNumberFormat="1" applyFont="1" applyFill="1" applyBorder="1" applyAlignment="1" applyProtection="1">
      <alignment horizontal="center" vertical="center"/>
    </xf>
    <xf numFmtId="1" fontId="3" fillId="0" borderId="58" xfId="0" quotePrefix="1" applyNumberFormat="1" applyFont="1" applyFill="1" applyBorder="1" applyAlignment="1" applyProtection="1">
      <alignment horizontal="center" vertical="center"/>
    </xf>
    <xf numFmtId="1" fontId="3" fillId="0" borderId="58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6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textRotation="90" wrapText="1"/>
    </xf>
    <xf numFmtId="1" fontId="3" fillId="0" borderId="60" xfId="0" applyNumberFormat="1" applyFont="1" applyFill="1" applyBorder="1" applyAlignment="1" applyProtection="1">
      <alignment horizontal="center" vertical="center"/>
    </xf>
    <xf numFmtId="165" fontId="3" fillId="0" borderId="28" xfId="0" applyNumberFormat="1" applyFont="1" applyFill="1" applyBorder="1" applyAlignment="1" applyProtection="1">
      <alignment horizontal="center" vertical="center"/>
    </xf>
    <xf numFmtId="1" fontId="3" fillId="0" borderId="68" xfId="0" applyNumberFormat="1" applyFont="1" applyFill="1" applyBorder="1" applyAlignment="1" applyProtection="1">
      <alignment horizontal="center" vertical="center"/>
    </xf>
    <xf numFmtId="0" fontId="3" fillId="0" borderId="35" xfId="0" quotePrefix="1" applyNumberFormat="1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165" fontId="3" fillId="0" borderId="73" xfId="0" applyNumberFormat="1" applyFont="1" applyFill="1" applyBorder="1" applyAlignment="1" applyProtection="1">
      <alignment horizontal="center" vertical="center"/>
    </xf>
    <xf numFmtId="1" fontId="3" fillId="0" borderId="105" xfId="0" quotePrefix="1" applyNumberFormat="1" applyFont="1" applyFill="1" applyBorder="1" applyAlignment="1" applyProtection="1">
      <alignment horizontal="center" vertical="center"/>
      <protection hidden="1"/>
    </xf>
    <xf numFmtId="165" fontId="4" fillId="0" borderId="0" xfId="0" applyNumberFormat="1" applyFont="1" applyFill="1" applyBorder="1" applyAlignment="1" applyProtection="1">
      <alignment horizontal="center" vertical="center"/>
    </xf>
    <xf numFmtId="165" fontId="3" fillId="0" borderId="60" xfId="0" applyNumberFormat="1" applyFont="1" applyFill="1" applyBorder="1" applyAlignment="1" applyProtection="1">
      <alignment horizontal="center" vertical="center"/>
    </xf>
    <xf numFmtId="0" fontId="3" fillId="0" borderId="114" xfId="0" applyNumberFormat="1" applyFont="1" applyFill="1" applyBorder="1" applyAlignment="1" applyProtection="1">
      <alignment horizontal="center"/>
      <protection locked="0" hidden="1"/>
    </xf>
    <xf numFmtId="165" fontId="4" fillId="0" borderId="73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 applyProtection="1">
      <alignment horizontal="center" vertical="center"/>
      <protection hidden="1"/>
    </xf>
    <xf numFmtId="165" fontId="4" fillId="0" borderId="73" xfId="0" applyNumberFormat="1" applyFont="1" applyFill="1" applyBorder="1" applyAlignment="1" applyProtection="1">
      <alignment horizontal="center" vertical="center"/>
      <protection hidden="1"/>
    </xf>
    <xf numFmtId="165" fontId="4" fillId="0" borderId="73" xfId="0" quotePrefix="1" applyNumberFormat="1" applyFont="1" applyFill="1" applyBorder="1" applyAlignment="1" applyProtection="1">
      <alignment horizontal="center" vertical="center"/>
      <protection hidden="1"/>
    </xf>
    <xf numFmtId="165" fontId="4" fillId="0" borderId="82" xfId="0" applyNumberFormat="1" applyFont="1" applyFill="1" applyBorder="1" applyAlignment="1">
      <alignment horizontal="center" vertical="center"/>
    </xf>
    <xf numFmtId="165" fontId="4" fillId="0" borderId="83" xfId="0" applyNumberFormat="1" applyFont="1" applyFill="1" applyBorder="1" applyAlignment="1" applyProtection="1">
      <alignment horizontal="center" vertical="center"/>
      <protection hidden="1"/>
    </xf>
    <xf numFmtId="165" fontId="4" fillId="0" borderId="82" xfId="0" applyNumberFormat="1" applyFont="1" applyFill="1" applyBorder="1" applyAlignment="1" applyProtection="1">
      <alignment horizontal="center" vertical="center"/>
      <protection hidden="1"/>
    </xf>
    <xf numFmtId="165" fontId="4" fillId="0" borderId="82" xfId="0" quotePrefix="1" applyNumberFormat="1" applyFont="1" applyFill="1" applyBorder="1" applyAlignment="1" applyProtection="1">
      <alignment horizontal="center" vertical="center"/>
      <protection hidden="1"/>
    </xf>
    <xf numFmtId="165" fontId="4" fillId="0" borderId="58" xfId="0" applyNumberFormat="1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 applyProtection="1">
      <alignment horizontal="center" vertical="center"/>
      <protection hidden="1"/>
    </xf>
    <xf numFmtId="165" fontId="4" fillId="0" borderId="58" xfId="0" applyNumberFormat="1" applyFont="1" applyFill="1" applyBorder="1" applyAlignment="1" applyProtection="1">
      <alignment horizontal="center" vertical="center"/>
      <protection hidden="1"/>
    </xf>
    <xf numFmtId="0" fontId="3" fillId="0" borderId="36" xfId="0" applyNumberFormat="1" applyFont="1" applyFill="1" applyBorder="1" applyAlignment="1" applyProtection="1">
      <alignment horizontal="center" vertical="center"/>
    </xf>
    <xf numFmtId="165" fontId="3" fillId="0" borderId="13" xfId="0" quotePrefix="1" applyNumberFormat="1" applyFont="1" applyFill="1" applyBorder="1" applyAlignment="1" applyProtection="1">
      <alignment horizontal="center" vertical="center"/>
      <protection locked="0" hidden="1"/>
    </xf>
    <xf numFmtId="165" fontId="3" fillId="0" borderId="13" xfId="0" quotePrefix="1" applyNumberFormat="1" applyFont="1" applyFill="1" applyBorder="1" applyAlignment="1" applyProtection="1">
      <alignment horizontal="center" vertical="center"/>
      <protection hidden="1"/>
    </xf>
    <xf numFmtId="165" fontId="3" fillId="0" borderId="14" xfId="0" quotePrefix="1" applyNumberFormat="1" applyFont="1" applyFill="1" applyBorder="1" applyAlignment="1" applyProtection="1">
      <alignment horizontal="center" vertical="center"/>
      <protection locked="0" hidden="1"/>
    </xf>
    <xf numFmtId="165" fontId="3" fillId="0" borderId="6" xfId="0" quotePrefix="1" applyNumberFormat="1" applyFont="1" applyFill="1" applyBorder="1" applyAlignment="1" applyProtection="1">
      <alignment horizontal="center" vertical="center"/>
      <protection locked="0" hidden="1"/>
    </xf>
    <xf numFmtId="165" fontId="11" fillId="0" borderId="0" xfId="0" applyNumberFormat="1" applyFont="1" applyFill="1" applyBorder="1" applyAlignment="1">
      <alignment vertical="center"/>
    </xf>
    <xf numFmtId="16" fontId="45" fillId="0" borderId="0" xfId="1585" applyNumberFormat="1" applyFont="1" applyFill="1" applyBorder="1" applyAlignment="1">
      <alignment horizontal="center"/>
    </xf>
    <xf numFmtId="0" fontId="45" fillId="0" borderId="0" xfId="0" applyFont="1" applyFill="1" applyBorder="1"/>
    <xf numFmtId="0" fontId="45" fillId="0" borderId="0" xfId="0" applyFont="1" applyFill="1" applyBorder="1" applyAlignment="1">
      <alignment vertical="center"/>
    </xf>
    <xf numFmtId="165" fontId="45" fillId="0" borderId="0" xfId="0" applyNumberFormat="1" applyFont="1" applyFill="1" applyBorder="1" applyAlignment="1">
      <alignment vertical="center"/>
    </xf>
    <xf numFmtId="0" fontId="45" fillId="0" borderId="0" xfId="0" applyFont="1" applyFill="1" applyAlignment="1">
      <alignment vertical="center"/>
    </xf>
    <xf numFmtId="167" fontId="45" fillId="0" borderId="0" xfId="0" applyNumberFormat="1" applyFont="1" applyFill="1" applyBorder="1" applyAlignment="1">
      <alignment vertical="center"/>
    </xf>
    <xf numFmtId="166" fontId="45" fillId="0" borderId="0" xfId="0" applyNumberFormat="1" applyFont="1" applyFill="1" applyBorder="1" applyAlignment="1">
      <alignment vertical="center"/>
    </xf>
    <xf numFmtId="165" fontId="45" fillId="0" borderId="0" xfId="0" applyNumberFormat="1" applyFont="1" applyFill="1" applyBorder="1" applyAlignment="1">
      <alignment horizontal="center" vertical="center"/>
    </xf>
    <xf numFmtId="165" fontId="45" fillId="0" borderId="0" xfId="0" applyNumberFormat="1" applyFont="1" applyFill="1" applyBorder="1"/>
    <xf numFmtId="0" fontId="0" fillId="0" borderId="0" xfId="0" applyFill="1" applyAlignment="1">
      <alignment horizontal="left"/>
    </xf>
    <xf numFmtId="16" fontId="3" fillId="0" borderId="0" xfId="1728" applyNumberFormat="1" applyFont="1" applyFill="1" applyBorder="1" applyAlignment="1">
      <alignment horizontal="center"/>
    </xf>
    <xf numFmtId="16" fontId="3" fillId="0" borderId="0" xfId="1585" applyNumberFormat="1" applyFont="1" applyFill="1" applyBorder="1" applyAlignment="1">
      <alignment horizontal="center"/>
    </xf>
    <xf numFmtId="165" fontId="45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7" fillId="0" borderId="0" xfId="0" applyNumberFormat="1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vertical="top"/>
      <protection hidden="1"/>
    </xf>
    <xf numFmtId="0" fontId="8" fillId="0" borderId="0" xfId="0" applyNumberFormat="1" applyFont="1" applyFill="1" applyAlignment="1" applyProtection="1">
      <alignment horizontal="center"/>
      <protection hidden="1"/>
    </xf>
    <xf numFmtId="0" fontId="0" fillId="0" borderId="28" xfId="0" applyFill="1" applyBorder="1"/>
    <xf numFmtId="0" fontId="0" fillId="0" borderId="29" xfId="0" applyFill="1" applyBorder="1"/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37" xfId="1540" applyFont="1" applyFill="1" applyBorder="1" applyProtection="1"/>
    <xf numFmtId="0" fontId="3" fillId="0" borderId="21" xfId="1540" quotePrefix="1" applyNumberFormat="1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Protection="1">
      <protection hidden="1"/>
    </xf>
    <xf numFmtId="0" fontId="8" fillId="0" borderId="8" xfId="0" applyNumberFormat="1" applyFont="1" applyFill="1" applyBorder="1" applyAlignment="1" applyProtection="1">
      <alignment horizontal="center"/>
      <protection hidden="1"/>
    </xf>
    <xf numFmtId="0" fontId="10" fillId="0" borderId="11" xfId="0" applyFont="1" applyFill="1" applyBorder="1" applyAlignment="1" applyProtection="1">
      <protection hidden="1"/>
    </xf>
    <xf numFmtId="0" fontId="3" fillId="0" borderId="37" xfId="1540" applyFont="1" applyFill="1" applyBorder="1" applyAlignment="1" applyProtection="1">
      <alignment vertical="center"/>
    </xf>
    <xf numFmtId="1" fontId="3" fillId="0" borderId="126" xfId="0" applyNumberFormat="1" applyFont="1" applyFill="1" applyBorder="1" applyAlignment="1" applyProtection="1">
      <alignment horizontal="center" vertical="center"/>
      <protection hidden="1"/>
    </xf>
    <xf numFmtId="1" fontId="3" fillId="0" borderId="31" xfId="0" applyNumberFormat="1" applyFont="1" applyFill="1" applyBorder="1" applyAlignment="1" applyProtection="1">
      <alignment horizontal="center" vertical="center"/>
      <protection hidden="1"/>
    </xf>
    <xf numFmtId="165" fontId="3" fillId="0" borderId="92" xfId="0" applyNumberFormat="1" applyFont="1" applyFill="1" applyBorder="1" applyAlignment="1" applyProtection="1">
      <alignment horizontal="center" vertical="center"/>
      <protection hidden="1"/>
    </xf>
    <xf numFmtId="165" fontId="3" fillId="0" borderId="97" xfId="0" applyNumberFormat="1" applyFont="1" applyFill="1" applyBorder="1" applyAlignment="1" applyProtection="1">
      <alignment horizontal="center" vertical="center"/>
    </xf>
    <xf numFmtId="164" fontId="3" fillId="0" borderId="72" xfId="0" applyNumberFormat="1" applyFont="1" applyFill="1" applyBorder="1" applyAlignment="1" applyProtection="1">
      <alignment horizontal="center" vertical="center"/>
      <protection hidden="1"/>
    </xf>
    <xf numFmtId="0" fontId="3" fillId="0" borderId="53" xfId="0" applyNumberFormat="1" applyFont="1" applyFill="1" applyBorder="1" applyAlignment="1" applyProtection="1">
      <alignment horizontal="center" vertical="center"/>
      <protection locked="0" hidden="1"/>
    </xf>
    <xf numFmtId="1" fontId="3" fillId="0" borderId="89" xfId="0" applyNumberFormat="1" applyFont="1" applyFill="1" applyBorder="1" applyAlignment="1" applyProtection="1">
      <alignment horizontal="center" vertical="center"/>
      <protection hidden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7" xfId="0" quotePrefix="1" applyNumberFormat="1" applyFont="1" applyFill="1" applyBorder="1" applyAlignment="1" applyProtection="1">
      <alignment horizontal="center" vertical="center"/>
    </xf>
    <xf numFmtId="0" fontId="1" fillId="0" borderId="36" xfId="0" quotePrefix="1" applyNumberFormat="1" applyFont="1" applyFill="1" applyBorder="1" applyAlignment="1" applyProtection="1">
      <alignment horizontal="center" vertical="center"/>
    </xf>
    <xf numFmtId="165" fontId="3" fillId="0" borderId="29" xfId="0" quotePrefix="1" applyNumberFormat="1" applyFont="1" applyFill="1" applyBorder="1" applyAlignment="1" applyProtection="1">
      <alignment horizontal="center" vertical="center"/>
      <protection locked="0" hidden="1"/>
    </xf>
    <xf numFmtId="0" fontId="1" fillId="0" borderId="17" xfId="0" quotePrefix="1" applyNumberFormat="1" applyFont="1" applyFill="1" applyBorder="1" applyAlignment="1" applyProtection="1">
      <alignment horizontal="center" vertical="center"/>
      <protection hidden="1"/>
    </xf>
    <xf numFmtId="1" fontId="1" fillId="0" borderId="45" xfId="0" applyNumberFormat="1" applyFont="1" applyFill="1" applyBorder="1" applyProtection="1">
      <protection hidden="1"/>
    </xf>
    <xf numFmtId="1" fontId="1" fillId="0" borderId="46" xfId="0" applyNumberFormat="1" applyFont="1" applyFill="1" applyBorder="1" applyProtection="1"/>
    <xf numFmtId="1" fontId="1" fillId="0" borderId="45" xfId="0" applyNumberFormat="1" applyFont="1" applyFill="1" applyBorder="1" applyProtection="1"/>
    <xf numFmtId="1" fontId="1" fillId="0" borderId="37" xfId="0" applyNumberFormat="1" applyFont="1" applyFill="1" applyBorder="1" applyProtection="1"/>
    <xf numFmtId="1" fontId="1" fillId="0" borderId="50" xfId="0" applyNumberFormat="1" applyFont="1" applyFill="1" applyBorder="1" applyProtection="1">
      <protection hidden="1"/>
    </xf>
    <xf numFmtId="1" fontId="1" fillId="0" borderId="37" xfId="0" applyNumberFormat="1" applyFont="1" applyFill="1" applyBorder="1" applyProtection="1">
      <protection hidden="1"/>
    </xf>
    <xf numFmtId="1" fontId="1" fillId="0" borderId="14" xfId="0" applyNumberFormat="1" applyFont="1" applyFill="1" applyBorder="1" applyAlignment="1" applyProtection="1">
      <alignment horizontal="center" vertical="center"/>
    </xf>
    <xf numFmtId="1" fontId="1" fillId="0" borderId="50" xfId="0" applyNumberFormat="1" applyFont="1" applyFill="1" applyBorder="1" applyAlignment="1" applyProtection="1">
      <alignment vertical="center"/>
    </xf>
    <xf numFmtId="1" fontId="1" fillId="0" borderId="45" xfId="0" applyNumberFormat="1" applyFont="1" applyFill="1" applyBorder="1" applyAlignment="1" applyProtection="1">
      <alignment vertical="center"/>
    </xf>
    <xf numFmtId="1" fontId="1" fillId="0" borderId="37" xfId="0" applyNumberFormat="1" applyFont="1" applyFill="1" applyBorder="1" applyAlignment="1" applyProtection="1">
      <alignment vertical="center"/>
    </xf>
    <xf numFmtId="1" fontId="1" fillId="0" borderId="37" xfId="0" applyNumberFormat="1" applyFont="1" applyFill="1" applyBorder="1" applyAlignment="1" applyProtection="1">
      <alignment vertical="center"/>
      <protection hidden="1"/>
    </xf>
    <xf numFmtId="1" fontId="1" fillId="0" borderId="109" xfId="0" applyNumberFormat="1" applyFont="1" applyFill="1" applyBorder="1" applyAlignment="1" applyProtection="1">
      <alignment vertical="center"/>
    </xf>
    <xf numFmtId="165" fontId="1" fillId="0" borderId="73" xfId="0" applyNumberFormat="1" applyFont="1" applyFill="1" applyBorder="1" applyAlignment="1" applyProtection="1">
      <alignment horizontal="center" vertical="center"/>
      <protection hidden="1"/>
    </xf>
    <xf numFmtId="1" fontId="1" fillId="0" borderId="22" xfId="0" applyNumberFormat="1" applyFont="1" applyFill="1" applyBorder="1" applyAlignment="1" applyProtection="1">
      <alignment vertical="center"/>
      <protection locked="0" hidden="1"/>
    </xf>
    <xf numFmtId="1" fontId="1" fillId="0" borderId="21" xfId="0" applyNumberFormat="1" applyFont="1" applyFill="1" applyBorder="1" applyAlignment="1" applyProtection="1">
      <alignment vertical="center"/>
      <protection locked="0" hidden="1"/>
    </xf>
    <xf numFmtId="1" fontId="1" fillId="0" borderId="19" xfId="0" applyNumberFormat="1" applyFont="1" applyFill="1" applyBorder="1" applyAlignment="1" applyProtection="1">
      <alignment vertical="center"/>
      <protection hidden="1"/>
    </xf>
    <xf numFmtId="1" fontId="1" fillId="0" borderId="33" xfId="0" applyNumberFormat="1" applyFont="1" applyFill="1" applyBorder="1" applyAlignment="1" applyProtection="1">
      <alignment vertical="center"/>
    </xf>
    <xf numFmtId="1" fontId="1" fillId="0" borderId="22" xfId="0" applyNumberFormat="1" applyFont="1" applyFill="1" applyBorder="1" applyAlignment="1" applyProtection="1">
      <alignment vertical="center"/>
    </xf>
    <xf numFmtId="1" fontId="1" fillId="0" borderId="33" xfId="0" applyNumberFormat="1" applyFont="1" applyFill="1" applyBorder="1" applyAlignment="1" applyProtection="1">
      <alignment vertical="center"/>
      <protection locked="0" hidden="1"/>
    </xf>
    <xf numFmtId="0" fontId="1" fillId="0" borderId="23" xfId="0" applyNumberFormat="1" applyFont="1" applyFill="1" applyBorder="1" applyAlignment="1" applyProtection="1">
      <alignment horizontal="center" textRotation="90"/>
      <protection hidden="1"/>
    </xf>
    <xf numFmtId="165" fontId="1" fillId="0" borderId="14" xfId="0" quotePrefix="1" applyNumberFormat="1" applyFont="1" applyFill="1" applyBorder="1" applyAlignment="1" applyProtection="1">
      <alignment horizontal="center" vertical="center"/>
      <protection hidden="1"/>
    </xf>
    <xf numFmtId="165" fontId="1" fillId="0" borderId="6" xfId="0" quotePrefix="1" applyNumberFormat="1" applyFont="1" applyFill="1" applyBorder="1" applyAlignment="1" applyProtection="1">
      <alignment horizontal="center" vertical="center"/>
      <protection hidden="1"/>
    </xf>
    <xf numFmtId="165" fontId="1" fillId="0" borderId="73" xfId="0" quotePrefix="1" applyNumberFormat="1" applyFont="1" applyFill="1" applyBorder="1" applyAlignment="1" applyProtection="1">
      <alignment horizontal="center" vertical="center"/>
      <protection hidden="1"/>
    </xf>
    <xf numFmtId="165" fontId="1" fillId="0" borderId="13" xfId="0" quotePrefix="1" applyNumberFormat="1" applyFont="1" applyFill="1" applyBorder="1" applyAlignment="1" applyProtection="1">
      <alignment horizontal="center" vertical="center"/>
      <protection hidden="1"/>
    </xf>
    <xf numFmtId="1" fontId="1" fillId="0" borderId="45" xfId="0" applyNumberFormat="1" applyFont="1" applyFill="1" applyBorder="1" applyAlignment="1" applyProtection="1">
      <alignment vertical="center"/>
      <protection hidden="1"/>
    </xf>
    <xf numFmtId="0" fontId="1" fillId="0" borderId="46" xfId="1540" applyFont="1" applyFill="1" applyBorder="1" applyAlignment="1" applyProtection="1">
      <alignment vertical="center"/>
      <protection hidden="1"/>
    </xf>
    <xf numFmtId="1" fontId="1" fillId="0" borderId="46" xfId="0" applyNumberFormat="1" applyFont="1" applyFill="1" applyBorder="1" applyAlignment="1" applyProtection="1">
      <alignment vertical="center"/>
      <protection hidden="1"/>
    </xf>
    <xf numFmtId="169" fontId="0" fillId="0" borderId="0" xfId="0" applyNumberFormat="1" applyFill="1"/>
    <xf numFmtId="165" fontId="1" fillId="0" borderId="7" xfId="0" applyNumberFormat="1" applyFont="1" applyFill="1" applyBorder="1" applyAlignment="1" applyProtection="1">
      <alignment horizontal="center" vertical="center"/>
      <protection hidden="1"/>
    </xf>
    <xf numFmtId="1" fontId="1" fillId="0" borderId="20" xfId="0" applyNumberFormat="1" applyFont="1" applyFill="1" applyBorder="1" applyAlignment="1" applyProtection="1">
      <alignment vertical="center"/>
      <protection hidden="1"/>
    </xf>
    <xf numFmtId="1" fontId="1" fillId="0" borderId="20" xfId="0" applyNumberFormat="1" applyFont="1" applyFill="1" applyBorder="1" applyAlignment="1" applyProtection="1">
      <alignment vertical="center"/>
      <protection locked="0" hidden="1"/>
    </xf>
    <xf numFmtId="1" fontId="1" fillId="0" borderId="61" xfId="0" applyNumberFormat="1" applyFont="1" applyFill="1" applyBorder="1" applyAlignment="1" applyProtection="1">
      <alignment vertical="center"/>
    </xf>
    <xf numFmtId="1" fontId="1" fillId="0" borderId="22" xfId="0" quotePrefix="1" applyNumberFormat="1" applyFont="1" applyFill="1" applyBorder="1" applyAlignment="1" applyProtection="1">
      <alignment horizontal="center" vertical="center"/>
      <protection locked="0" hidden="1"/>
    </xf>
    <xf numFmtId="165" fontId="1" fillId="0" borderId="29" xfId="0" applyNumberFormat="1" applyFont="1" applyFill="1" applyBorder="1" applyAlignment="1" applyProtection="1">
      <alignment horizontal="center" vertical="center"/>
      <protection hidden="1"/>
    </xf>
    <xf numFmtId="1" fontId="1" fillId="0" borderId="61" xfId="0" applyNumberFormat="1" applyFont="1" applyFill="1" applyBorder="1" applyAlignment="1" applyProtection="1">
      <alignment vertical="center" wrapText="1"/>
      <protection hidden="1"/>
    </xf>
    <xf numFmtId="1" fontId="1" fillId="0" borderId="21" xfId="0" applyNumberFormat="1" applyFont="1" applyFill="1" applyBorder="1" applyAlignment="1" applyProtection="1">
      <alignment vertical="center" wrapText="1"/>
      <protection hidden="1"/>
    </xf>
    <xf numFmtId="1" fontId="1" fillId="0" borderId="65" xfId="1540" applyNumberFormat="1" applyFont="1" applyFill="1" applyBorder="1" applyAlignment="1" applyProtection="1">
      <alignment vertical="center"/>
      <protection hidden="1"/>
    </xf>
    <xf numFmtId="0" fontId="1" fillId="0" borderId="65" xfId="1540" applyNumberFormat="1" applyFont="1" applyFill="1" applyBorder="1" applyAlignment="1" applyProtection="1">
      <alignment vertical="center"/>
      <protection hidden="1"/>
    </xf>
    <xf numFmtId="0" fontId="1" fillId="0" borderId="65" xfId="1540" applyNumberFormat="1" applyFont="1" applyFill="1" applyBorder="1" applyAlignment="1" applyProtection="1">
      <alignment horizontal="left" vertical="center"/>
      <protection hidden="1"/>
    </xf>
    <xf numFmtId="165" fontId="1" fillId="0" borderId="109" xfId="0" applyNumberFormat="1" applyFont="1" applyFill="1" applyBorder="1" applyAlignment="1" applyProtection="1">
      <alignment vertical="center"/>
    </xf>
    <xf numFmtId="0" fontId="1" fillId="0" borderId="10" xfId="0" applyNumberFormat="1" applyFont="1" applyFill="1" applyBorder="1" applyAlignment="1" applyProtection="1">
      <alignment horizontal="center" textRotation="90"/>
      <protection hidden="1"/>
    </xf>
    <xf numFmtId="0" fontId="1" fillId="0" borderId="32" xfId="0" applyNumberFormat="1" applyFont="1" applyFill="1" applyBorder="1" applyAlignment="1" applyProtection="1">
      <alignment horizontal="center" vertical="center"/>
      <protection hidden="1"/>
    </xf>
    <xf numFmtId="0" fontId="3" fillId="0" borderId="26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42" xfId="0" applyNumberFormat="1" applyFont="1" applyFill="1" applyBorder="1" applyAlignment="1" applyProtection="1">
      <alignment horizontal="center" vertical="center" wrapText="1"/>
    </xf>
    <xf numFmtId="1" fontId="3" fillId="0" borderId="91" xfId="0" applyNumberFormat="1" applyFont="1" applyFill="1" applyBorder="1" applyAlignment="1" applyProtection="1">
      <alignment horizontal="center" vertical="center"/>
      <protection hidden="1"/>
    </xf>
    <xf numFmtId="1" fontId="3" fillId="0" borderId="132" xfId="0" applyNumberFormat="1" applyFont="1" applyFill="1" applyBorder="1" applyAlignment="1" applyProtection="1">
      <alignment horizontal="center" vertical="center"/>
      <protection hidden="1"/>
    </xf>
    <xf numFmtId="165" fontId="3" fillId="0" borderId="90" xfId="0" quotePrefix="1" applyNumberFormat="1" applyFont="1" applyFill="1" applyBorder="1" applyAlignment="1" applyProtection="1">
      <alignment horizontal="center" vertical="center" wrapText="1"/>
      <protection hidden="1"/>
    </xf>
    <xf numFmtId="165" fontId="3" fillId="0" borderId="92" xfId="0" quotePrefix="1" applyNumberFormat="1" applyFont="1" applyFill="1" applyBorder="1" applyAlignment="1" applyProtection="1">
      <alignment horizontal="center" vertical="center" wrapText="1"/>
      <protection hidden="1"/>
    </xf>
    <xf numFmtId="165" fontId="3" fillId="0" borderId="92" xfId="0" applyNumberFormat="1" applyFont="1" applyFill="1" applyBorder="1" applyAlignment="1" applyProtection="1">
      <alignment horizontal="center" vertical="center" wrapText="1"/>
      <protection hidden="1"/>
    </xf>
    <xf numFmtId="165" fontId="3" fillId="0" borderId="91" xfId="0" quotePrefix="1" applyNumberFormat="1" applyFont="1" applyFill="1" applyBorder="1" applyAlignment="1" applyProtection="1">
      <alignment horizontal="center" vertical="center"/>
      <protection hidden="1"/>
    </xf>
    <xf numFmtId="165" fontId="3" fillId="0" borderId="132" xfId="0" quotePrefix="1" applyNumberFormat="1" applyFont="1" applyFill="1" applyBorder="1" applyAlignment="1" applyProtection="1">
      <alignment horizontal="center" vertical="center"/>
      <protection hidden="1"/>
    </xf>
    <xf numFmtId="0" fontId="3" fillId="0" borderId="53" xfId="0" applyNumberFormat="1" applyFont="1" applyFill="1" applyBorder="1" applyAlignment="1" applyProtection="1">
      <alignment horizontal="center" vertical="center"/>
      <protection hidden="1"/>
    </xf>
    <xf numFmtId="0" fontId="3" fillId="0" borderId="95" xfId="0" applyNumberFormat="1" applyFont="1" applyFill="1" applyBorder="1" applyAlignment="1" applyProtection="1">
      <alignment horizontal="center" vertical="center"/>
      <protection hidden="1"/>
    </xf>
    <xf numFmtId="0" fontId="3" fillId="0" borderId="91" xfId="0" applyNumberFormat="1" applyFont="1" applyFill="1" applyBorder="1" applyAlignment="1" applyProtection="1">
      <alignment horizontal="center" vertical="center"/>
      <protection hidden="1"/>
    </xf>
    <xf numFmtId="1" fontId="1" fillId="0" borderId="21" xfId="0" applyNumberFormat="1" applyFont="1" applyFill="1" applyBorder="1" applyAlignment="1" applyProtection="1">
      <alignment vertical="center"/>
    </xf>
    <xf numFmtId="165" fontId="1" fillId="0" borderId="14" xfId="0" quotePrefix="1" applyNumberFormat="1" applyFont="1" applyFill="1" applyBorder="1" applyAlignment="1" applyProtection="1">
      <alignment horizontal="center" vertical="center"/>
    </xf>
    <xf numFmtId="1" fontId="1" fillId="0" borderId="37" xfId="0" applyNumberFormat="1" applyFont="1" applyFill="1" applyBorder="1" applyAlignment="1" applyProtection="1">
      <alignment vertical="center" wrapText="1"/>
      <protection hidden="1"/>
    </xf>
    <xf numFmtId="1" fontId="1" fillId="0" borderId="46" xfId="0" applyNumberFormat="1" applyFont="1" applyFill="1" applyBorder="1" applyAlignment="1" applyProtection="1">
      <alignment vertical="center"/>
    </xf>
    <xf numFmtId="165" fontId="1" fillId="0" borderId="37" xfId="0" applyNumberFormat="1" applyFont="1" applyFill="1" applyBorder="1" applyAlignment="1" applyProtection="1">
      <alignment vertical="center"/>
    </xf>
    <xf numFmtId="0" fontId="1" fillId="0" borderId="35" xfId="0" quotePrefix="1" applyNumberFormat="1" applyFont="1" applyFill="1" applyBorder="1" applyAlignment="1" applyProtection="1">
      <alignment horizontal="center" vertical="center"/>
    </xf>
    <xf numFmtId="165" fontId="1" fillId="0" borderId="58" xfId="0" quotePrefix="1" applyNumberFormat="1" applyFont="1" applyFill="1" applyBorder="1" applyAlignment="1" applyProtection="1">
      <alignment horizontal="center" vertical="center"/>
    </xf>
    <xf numFmtId="165" fontId="1" fillId="0" borderId="83" xfId="0" quotePrefix="1" applyNumberFormat="1" applyFont="1" applyFill="1" applyBorder="1" applyAlignment="1" applyProtection="1">
      <alignment horizontal="center" vertical="center"/>
    </xf>
    <xf numFmtId="165" fontId="1" fillId="0" borderId="28" xfId="0" quotePrefix="1" applyNumberFormat="1" applyFont="1" applyFill="1" applyBorder="1" applyAlignment="1" applyProtection="1">
      <alignment horizontal="center" vertical="center"/>
    </xf>
    <xf numFmtId="1" fontId="3" fillId="0" borderId="72" xfId="0" applyNumberFormat="1" applyFont="1" applyFill="1" applyBorder="1" applyAlignment="1" applyProtection="1">
      <alignment horizontal="center" vertical="center"/>
      <protection hidden="1"/>
    </xf>
    <xf numFmtId="0" fontId="3" fillId="0" borderId="105" xfId="0" applyNumberFormat="1" applyFont="1" applyFill="1" applyBorder="1" applyAlignment="1" applyProtection="1">
      <alignment horizontal="center" vertical="center"/>
      <protection locked="0" hidden="1"/>
    </xf>
    <xf numFmtId="165" fontId="1" fillId="0" borderId="83" xfId="0" applyNumberFormat="1" applyFont="1" applyFill="1" applyBorder="1" applyAlignment="1" applyProtection="1">
      <alignment horizontal="center" vertical="center"/>
    </xf>
    <xf numFmtId="165" fontId="1" fillId="0" borderId="110" xfId="0" applyNumberFormat="1" applyFont="1" applyFill="1" applyBorder="1" applyAlignment="1" applyProtection="1">
      <alignment horizontal="center" vertical="center"/>
    </xf>
    <xf numFmtId="165" fontId="1" fillId="0" borderId="111" xfId="0" applyNumberFormat="1" applyFont="1" applyFill="1" applyBorder="1" applyAlignment="1" applyProtection="1">
      <alignment horizontal="center" vertical="center"/>
    </xf>
    <xf numFmtId="165" fontId="1" fillId="0" borderId="68" xfId="0" applyNumberFormat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/>
    <xf numFmtId="0" fontId="1" fillId="0" borderId="40" xfId="0" applyFont="1" applyFill="1" applyBorder="1" applyAlignment="1">
      <alignment horizontal="center" textRotation="90" wrapText="1"/>
    </xf>
    <xf numFmtId="0" fontId="1" fillId="0" borderId="10" xfId="0" applyNumberFormat="1" applyFont="1" applyFill="1" applyBorder="1" applyAlignment="1" applyProtection="1">
      <alignment horizontal="center" textRotation="90"/>
    </xf>
    <xf numFmtId="0" fontId="1" fillId="0" borderId="9" xfId="0" applyNumberFormat="1" applyFont="1" applyFill="1" applyBorder="1" applyAlignment="1" applyProtection="1">
      <alignment horizontal="center" textRotation="90"/>
    </xf>
    <xf numFmtId="0" fontId="1" fillId="0" borderId="9" xfId="0" applyNumberFormat="1" applyFont="1" applyFill="1" applyBorder="1" applyAlignment="1" applyProtection="1">
      <alignment horizontal="center" textRotation="90" wrapText="1"/>
    </xf>
    <xf numFmtId="0" fontId="1" fillId="0" borderId="27" xfId="0" quotePrefix="1" applyFont="1" applyFill="1" applyBorder="1" applyAlignment="1" applyProtection="1">
      <alignment horizontal="center" vertical="center"/>
      <protection locked="0" hidden="1"/>
    </xf>
    <xf numFmtId="0" fontId="1" fillId="0" borderId="34" xfId="0" quotePrefix="1" applyFont="1" applyFill="1" applyBorder="1" applyAlignment="1" applyProtection="1">
      <alignment horizontal="center" vertical="center"/>
      <protection locked="0" hidden="1"/>
    </xf>
    <xf numFmtId="1" fontId="1" fillId="0" borderId="27" xfId="0" quotePrefix="1" applyNumberFormat="1" applyFont="1" applyFill="1" applyBorder="1" applyAlignment="1" applyProtection="1">
      <alignment horizontal="center" vertical="center"/>
      <protection hidden="1"/>
    </xf>
    <xf numFmtId="164" fontId="1" fillId="0" borderId="17" xfId="0" applyNumberFormat="1" applyFont="1" applyFill="1" applyBorder="1" applyAlignment="1" applyProtection="1">
      <alignment horizontal="center" vertical="center"/>
      <protection hidden="1"/>
    </xf>
    <xf numFmtId="1" fontId="1" fillId="0" borderId="13" xfId="0" applyNumberFormat="1" applyFont="1" applyFill="1" applyBorder="1" applyAlignment="1" applyProtection="1">
      <alignment horizontal="center" vertical="center"/>
    </xf>
    <xf numFmtId="1" fontId="1" fillId="0" borderId="60" xfId="0" applyNumberFormat="1" applyFont="1" applyFill="1" applyBorder="1" applyAlignment="1" applyProtection="1">
      <alignment horizontal="center" vertical="center"/>
    </xf>
    <xf numFmtId="165" fontId="1" fillId="0" borderId="45" xfId="0" applyNumberFormat="1" applyFont="1" applyFill="1" applyBorder="1" applyAlignment="1" applyProtection="1">
      <alignment vertical="center"/>
    </xf>
    <xf numFmtId="165" fontId="1" fillId="0" borderId="28" xfId="0" applyNumberFormat="1" applyFont="1" applyFill="1" applyBorder="1" applyAlignment="1" applyProtection="1">
      <alignment horizontal="center" vertical="center"/>
    </xf>
    <xf numFmtId="165" fontId="1" fillId="0" borderId="14" xfId="0" applyNumberFormat="1" applyFont="1" applyFill="1" applyBorder="1" applyAlignment="1" applyProtection="1">
      <alignment horizontal="center" vertical="center"/>
    </xf>
    <xf numFmtId="1" fontId="1" fillId="0" borderId="61" xfId="0" applyNumberFormat="1" applyFont="1" applyFill="1" applyBorder="1" applyAlignment="1" applyProtection="1">
      <alignment horizontal="center" vertical="center"/>
      <protection hidden="1"/>
    </xf>
    <xf numFmtId="1" fontId="1" fillId="0" borderId="21" xfId="0" applyNumberFormat="1" applyFont="1" applyFill="1" applyBorder="1" applyAlignment="1" applyProtection="1">
      <alignment horizontal="center" vertical="center"/>
      <protection hidden="1"/>
    </xf>
    <xf numFmtId="1" fontId="1" fillId="0" borderId="29" xfId="0" applyNumberFormat="1" applyFont="1" applyFill="1" applyBorder="1" applyAlignment="1" applyProtection="1">
      <alignment horizontal="center" vertical="center"/>
      <protection hidden="1"/>
    </xf>
    <xf numFmtId="1" fontId="1" fillId="0" borderId="6" xfId="0" applyNumberFormat="1" applyFont="1" applyFill="1" applyBorder="1" applyAlignment="1" applyProtection="1">
      <alignment horizontal="center" vertical="center"/>
      <protection hidden="1"/>
    </xf>
    <xf numFmtId="0" fontId="1" fillId="0" borderId="62" xfId="0" applyFont="1" applyFill="1" applyBorder="1" applyAlignment="1" applyProtection="1">
      <alignment horizontal="center" vertical="center"/>
    </xf>
    <xf numFmtId="0" fontId="1" fillId="0" borderId="48" xfId="0" applyFont="1" applyFill="1" applyBorder="1" applyAlignment="1" applyProtection="1">
      <alignment horizontal="center" vertical="center"/>
    </xf>
    <xf numFmtId="0" fontId="1" fillId="0" borderId="34" xfId="0" applyNumberFormat="1" applyFont="1" applyFill="1" applyBorder="1" applyAlignment="1" applyProtection="1">
      <alignment horizontal="center" vertical="center"/>
    </xf>
    <xf numFmtId="0" fontId="1" fillId="0" borderId="77" xfId="0" applyFont="1" applyFill="1" applyBorder="1" applyAlignment="1" applyProtection="1">
      <alignment horizontal="center" vertical="center"/>
    </xf>
    <xf numFmtId="1" fontId="1" fillId="0" borderId="28" xfId="0" applyNumberFormat="1" applyFont="1" applyFill="1" applyBorder="1" applyAlignment="1" applyProtection="1">
      <alignment horizontal="center" vertical="center"/>
    </xf>
    <xf numFmtId="1" fontId="1" fillId="0" borderId="29" xfId="0" applyNumberFormat="1" applyFont="1" applyFill="1" applyBorder="1" applyAlignment="1" applyProtection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/>
    </xf>
    <xf numFmtId="1" fontId="1" fillId="0" borderId="37" xfId="0" applyNumberFormat="1" applyFont="1" applyFill="1" applyBorder="1" applyAlignment="1" applyProtection="1">
      <alignment horizontal="center" vertical="center"/>
      <protection hidden="1"/>
    </xf>
    <xf numFmtId="1" fontId="1" fillId="0" borderId="73" xfId="0" applyNumberFormat="1" applyFont="1" applyFill="1" applyBorder="1" applyAlignment="1" applyProtection="1">
      <alignment horizontal="center" vertical="center"/>
    </xf>
    <xf numFmtId="1" fontId="1" fillId="0" borderId="83" xfId="0" applyNumberFormat="1" applyFont="1" applyFill="1" applyBorder="1" applyAlignment="1" applyProtection="1">
      <alignment horizontal="center" vertical="center"/>
    </xf>
    <xf numFmtId="1" fontId="1" fillId="0" borderId="36" xfId="0" applyNumberFormat="1" applyFont="1" applyFill="1" applyBorder="1" applyAlignment="1" applyProtection="1">
      <alignment horizontal="center" vertical="center"/>
    </xf>
    <xf numFmtId="1" fontId="1" fillId="0" borderId="27" xfId="0" applyNumberFormat="1" applyFont="1" applyFill="1" applyBorder="1" applyAlignment="1" applyProtection="1">
      <alignment horizontal="center" vertical="center"/>
    </xf>
    <xf numFmtId="1" fontId="1" fillId="0" borderId="34" xfId="0" applyNumberFormat="1" applyFont="1" applyFill="1" applyBorder="1" applyAlignment="1" applyProtection="1">
      <alignment horizontal="center" vertical="center"/>
    </xf>
    <xf numFmtId="165" fontId="1" fillId="0" borderId="45" xfId="0" applyNumberFormat="1" applyFont="1" applyFill="1" applyBorder="1" applyAlignment="1" applyProtection="1">
      <alignment horizontal="left" vertical="center"/>
    </xf>
    <xf numFmtId="1" fontId="1" fillId="0" borderId="14" xfId="0" quotePrefix="1" applyNumberFormat="1" applyFont="1" applyFill="1" applyBorder="1" applyAlignment="1" applyProtection="1">
      <alignment horizontal="center" vertical="center"/>
    </xf>
    <xf numFmtId="0" fontId="1" fillId="0" borderId="109" xfId="0" applyFont="1" applyFill="1" applyBorder="1" applyAlignment="1" applyProtection="1">
      <alignment vertical="center"/>
    </xf>
    <xf numFmtId="0" fontId="1" fillId="0" borderId="50" xfId="0" applyFont="1" applyFill="1" applyBorder="1" applyAlignment="1" applyProtection="1">
      <alignment vertical="center"/>
    </xf>
    <xf numFmtId="165" fontId="1" fillId="0" borderId="13" xfId="0" applyNumberFormat="1" applyFont="1" applyFill="1" applyBorder="1" applyAlignment="1" applyProtection="1">
      <alignment horizontal="center" vertical="center"/>
    </xf>
    <xf numFmtId="165" fontId="1" fillId="0" borderId="13" xfId="0" quotePrefix="1" applyNumberFormat="1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vertical="center"/>
    </xf>
    <xf numFmtId="0" fontId="1" fillId="0" borderId="49" xfId="0" applyFont="1" applyFill="1" applyBorder="1" applyProtection="1"/>
    <xf numFmtId="0" fontId="1" fillId="0" borderId="49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1" fillId="0" borderId="34" xfId="0" quotePrefix="1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34" xfId="0" applyNumberFormat="1" applyFont="1" applyFill="1" applyBorder="1" applyAlignment="1" applyProtection="1">
      <alignment horizontal="center"/>
    </xf>
    <xf numFmtId="0" fontId="1" fillId="0" borderId="36" xfId="0" quotePrefix="1" applyFont="1" applyFill="1" applyBorder="1" applyAlignment="1" applyProtection="1">
      <alignment horizontal="center" vertical="center"/>
    </xf>
    <xf numFmtId="0" fontId="1" fillId="0" borderId="27" xfId="0" quotePrefix="1" applyFont="1" applyFill="1" applyBorder="1" applyAlignment="1" applyProtection="1">
      <alignment horizontal="center" vertical="center"/>
    </xf>
    <xf numFmtId="0" fontId="1" fillId="0" borderId="34" xfId="0" quotePrefix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/>
    </xf>
    <xf numFmtId="0" fontId="1" fillId="0" borderId="21" xfId="0" applyFont="1" applyFill="1" applyBorder="1" applyAlignment="1" applyProtection="1">
      <alignment horizontal="center"/>
    </xf>
    <xf numFmtId="0" fontId="1" fillId="0" borderId="34" xfId="0" applyFont="1" applyFill="1" applyBorder="1" applyAlignment="1" applyProtection="1">
      <alignment horizontal="center"/>
    </xf>
    <xf numFmtId="0" fontId="1" fillId="0" borderId="50" xfId="0" applyFont="1" applyFill="1" applyBorder="1" applyProtection="1"/>
    <xf numFmtId="0" fontId="1" fillId="0" borderId="50" xfId="0" quotePrefix="1" applyFont="1" applyFill="1" applyBorder="1" applyAlignment="1" applyProtection="1">
      <alignment horizontal="center"/>
    </xf>
    <xf numFmtId="0" fontId="1" fillId="0" borderId="20" xfId="0" quotePrefix="1" applyFont="1" applyFill="1" applyBorder="1" applyAlignment="1" applyProtection="1">
      <alignment horizontal="center"/>
    </xf>
    <xf numFmtId="0" fontId="1" fillId="0" borderId="45" xfId="0" applyFont="1" applyFill="1" applyBorder="1" applyProtection="1"/>
    <xf numFmtId="0" fontId="1" fillId="0" borderId="45" xfId="0" quotePrefix="1" applyFont="1" applyFill="1" applyBorder="1" applyAlignment="1" applyProtection="1">
      <alignment horizontal="center"/>
    </xf>
    <xf numFmtId="0" fontId="1" fillId="0" borderId="22" xfId="0" quotePrefix="1" applyFont="1" applyFill="1" applyBorder="1" applyAlignment="1" applyProtection="1">
      <alignment horizontal="center"/>
    </xf>
    <xf numFmtId="0" fontId="1" fillId="0" borderId="37" xfId="0" applyFont="1" applyFill="1" applyBorder="1" applyProtection="1"/>
    <xf numFmtId="0" fontId="1" fillId="0" borderId="37" xfId="0" quotePrefix="1" applyFont="1" applyFill="1" applyBorder="1" applyAlignment="1" applyProtection="1">
      <alignment horizontal="center"/>
    </xf>
    <xf numFmtId="0" fontId="1" fillId="0" borderId="21" xfId="0" quotePrefix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1" fillId="0" borderId="0" xfId="0" applyFont="1" applyFill="1" applyAlignment="1" applyProtection="1">
      <alignment horizontal="left"/>
    </xf>
    <xf numFmtId="0" fontId="1" fillId="0" borderId="0" xfId="0" applyNumberFormat="1" applyFont="1" applyFill="1" applyAlignment="1" applyProtection="1">
      <alignment horizontal="center"/>
      <protection hidden="1"/>
    </xf>
    <xf numFmtId="1" fontId="3" fillId="0" borderId="13" xfId="0" quotePrefix="1" applyNumberFormat="1" applyFont="1" applyFill="1" applyBorder="1" applyAlignment="1" applyProtection="1">
      <alignment horizontal="center" vertical="center"/>
    </xf>
    <xf numFmtId="0" fontId="3" fillId="0" borderId="40" xfId="0" applyNumberFormat="1" applyFont="1" applyFill="1" applyBorder="1" applyAlignment="1" applyProtection="1">
      <alignment horizontal="center"/>
      <protection locked="0" hidden="1"/>
    </xf>
    <xf numFmtId="0" fontId="3" fillId="0" borderId="40" xfId="0" applyNumberFormat="1" applyFont="1" applyFill="1" applyBorder="1" applyAlignment="1" applyProtection="1">
      <alignment horizontal="center"/>
      <protection locked="0" hidden="1"/>
    </xf>
    <xf numFmtId="1" fontId="1" fillId="0" borderId="68" xfId="0" applyNumberFormat="1" applyFont="1" applyFill="1" applyBorder="1" applyAlignment="1" applyProtection="1">
      <alignment horizontal="center" vertical="center"/>
    </xf>
    <xf numFmtId="165" fontId="1" fillId="0" borderId="82" xfId="0" applyNumberFormat="1" applyFont="1" applyFill="1" applyBorder="1" applyAlignment="1" applyProtection="1">
      <alignment horizontal="center" vertical="center"/>
    </xf>
    <xf numFmtId="1" fontId="3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1" fillId="0" borderId="129" xfId="0" applyNumberFormat="1" applyFont="1" applyFill="1" applyBorder="1" applyAlignment="1" applyProtection="1">
      <alignment horizontal="center" textRotation="90" shrinkToFit="1"/>
      <protection hidden="1"/>
    </xf>
    <xf numFmtId="0" fontId="1" fillId="0" borderId="130" xfId="0" applyNumberFormat="1" applyFont="1" applyFill="1" applyBorder="1" applyAlignment="1" applyProtection="1">
      <alignment horizontal="center" textRotation="90" shrinkToFit="1"/>
      <protection hidden="1"/>
    </xf>
    <xf numFmtId="0" fontId="1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0" applyNumberFormat="1" applyFont="1" applyFill="1" applyBorder="1" applyAlignment="1" applyProtection="1">
      <alignment horizontal="center" textRotation="90"/>
      <protection hidden="1"/>
    </xf>
    <xf numFmtId="0" fontId="1" fillId="0" borderId="40" xfId="0" applyNumberFormat="1" applyFont="1" applyFill="1" applyBorder="1" applyAlignment="1" applyProtection="1">
      <alignment horizontal="center" textRotation="90"/>
      <protection hidden="1"/>
    </xf>
    <xf numFmtId="0" fontId="1" fillId="0" borderId="135" xfId="0" applyNumberFormat="1" applyFont="1" applyFill="1" applyBorder="1" applyAlignment="1" applyProtection="1">
      <alignment horizontal="center" textRotation="90"/>
      <protection hidden="1"/>
    </xf>
    <xf numFmtId="0" fontId="1" fillId="0" borderId="114" xfId="0" applyNumberFormat="1" applyFont="1" applyFill="1" applyBorder="1" applyAlignment="1" applyProtection="1">
      <alignment horizontal="center" textRotation="90"/>
      <protection hidden="1"/>
    </xf>
    <xf numFmtId="0" fontId="1" fillId="0" borderId="38" xfId="0" applyNumberFormat="1" applyFont="1" applyFill="1" applyBorder="1" applyAlignment="1" applyProtection="1">
      <alignment horizontal="center" vertical="center"/>
      <protection hidden="1"/>
    </xf>
    <xf numFmtId="0" fontId="1" fillId="0" borderId="31" xfId="0" applyNumberFormat="1" applyFont="1" applyFill="1" applyBorder="1" applyAlignment="1" applyProtection="1">
      <alignment horizontal="center" vertical="center"/>
      <protection hidden="1"/>
    </xf>
    <xf numFmtId="0" fontId="1" fillId="0" borderId="115" xfId="0" applyNumberFormat="1" applyFont="1" applyFill="1" applyBorder="1" applyAlignment="1" applyProtection="1">
      <alignment horizontal="center" vertical="center"/>
      <protection hidden="1"/>
    </xf>
    <xf numFmtId="0" fontId="1" fillId="0" borderId="125" xfId="0" applyNumberFormat="1" applyFont="1" applyFill="1" applyBorder="1" applyAlignment="1" applyProtection="1">
      <alignment horizontal="center" vertical="center"/>
      <protection hidden="1"/>
    </xf>
    <xf numFmtId="0" fontId="1" fillId="0" borderId="34" xfId="0" applyNumberFormat="1" applyFont="1" applyFill="1" applyBorder="1" applyAlignment="1" applyProtection="1">
      <alignment horizontal="center"/>
      <protection hidden="1"/>
    </xf>
    <xf numFmtId="0" fontId="1" fillId="0" borderId="17" xfId="0" applyNumberFormat="1" applyFont="1" applyFill="1" applyBorder="1" applyAlignment="1" applyProtection="1">
      <alignment horizontal="center"/>
      <protection hidden="1"/>
    </xf>
    <xf numFmtId="0" fontId="1" fillId="0" borderId="116" xfId="0" applyNumberFormat="1" applyFont="1" applyFill="1" applyBorder="1" applyAlignment="1" applyProtection="1">
      <alignment horizontal="center"/>
      <protection hidden="1"/>
    </xf>
    <xf numFmtId="0" fontId="1" fillId="0" borderId="127" xfId="0" applyNumberFormat="1" applyFont="1" applyFill="1" applyBorder="1" applyAlignment="1" applyProtection="1">
      <alignment horizontal="center" textRotation="90"/>
      <protection hidden="1"/>
    </xf>
    <xf numFmtId="0" fontId="1" fillId="0" borderId="42" xfId="0" applyNumberFormat="1" applyFont="1" applyFill="1" applyBorder="1" applyAlignment="1" applyProtection="1">
      <alignment horizontal="center" vertical="center" wrapText="1"/>
    </xf>
    <xf numFmtId="0" fontId="1" fillId="0" borderId="35" xfId="0" quotePrefix="1" applyNumberFormat="1" applyFont="1" applyFill="1" applyBorder="1" applyAlignment="1" applyProtection="1">
      <alignment horizontal="center" vertical="center"/>
      <protection hidden="1"/>
    </xf>
    <xf numFmtId="0" fontId="3" fillId="0" borderId="59" xfId="0" quotePrefix="1" applyNumberFormat="1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165" fontId="4" fillId="0" borderId="17" xfId="0" applyNumberFormat="1" applyFont="1" applyFill="1" applyBorder="1" applyAlignment="1" applyProtection="1">
      <alignment horizontal="center" vertical="center"/>
    </xf>
    <xf numFmtId="165" fontId="3" fillId="0" borderId="17" xfId="0" applyNumberFormat="1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1" fillId="0" borderId="128" xfId="0" applyNumberFormat="1" applyFont="1" applyFill="1" applyBorder="1" applyAlignment="1" applyProtection="1">
      <alignment horizontal="center" textRotation="90" wrapText="1"/>
    </xf>
    <xf numFmtId="0" fontId="1" fillId="0" borderId="35" xfId="0" applyNumberFormat="1" applyFont="1" applyFill="1" applyBorder="1" applyAlignment="1" applyProtection="1">
      <alignment horizontal="center" vertical="center" wrapText="1"/>
    </xf>
    <xf numFmtId="164" fontId="1" fillId="0" borderId="35" xfId="0" applyNumberFormat="1" applyFont="1" applyFill="1" applyBorder="1" applyAlignment="1" applyProtection="1">
      <alignment horizontal="center" vertical="center"/>
      <protection hidden="1"/>
    </xf>
    <xf numFmtId="16" fontId="29" fillId="0" borderId="0" xfId="0" applyNumberFormat="1" applyFont="1" applyBorder="1" applyAlignment="1">
      <alignment horizontal="center" vertical="center"/>
    </xf>
    <xf numFmtId="16" fontId="29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horizontal="center"/>
    </xf>
    <xf numFmtId="0" fontId="0" fillId="0" borderId="0" xfId="0" quotePrefix="1" applyFill="1" applyBorder="1"/>
    <xf numFmtId="0" fontId="1" fillId="0" borderId="46" xfId="0" applyFont="1" applyFill="1" applyBorder="1" applyAlignment="1" applyProtection="1">
      <alignment vertical="center"/>
      <protection hidden="1"/>
    </xf>
    <xf numFmtId="1" fontId="3" fillId="0" borderId="143" xfId="0" applyNumberFormat="1" applyFont="1" applyFill="1" applyBorder="1" applyAlignment="1" applyProtection="1">
      <alignment horizontal="center" vertical="center"/>
      <protection hidden="1"/>
    </xf>
    <xf numFmtId="0" fontId="1" fillId="0" borderId="67" xfId="1540" applyNumberFormat="1" applyFont="1" applyFill="1" applyBorder="1" applyAlignment="1" applyProtection="1">
      <alignment horizontal="left" vertical="center"/>
      <protection hidden="1"/>
    </xf>
    <xf numFmtId="165" fontId="1" fillId="0" borderId="6" xfId="0" quotePrefix="1" applyNumberFormat="1" applyFont="1" applyFill="1" applyBorder="1" applyAlignment="1" applyProtection="1">
      <alignment horizontal="center" vertical="center"/>
    </xf>
    <xf numFmtId="1" fontId="4" fillId="0" borderId="17" xfId="0" applyNumberFormat="1" applyFont="1" applyFill="1" applyBorder="1" applyAlignment="1" applyProtection="1">
      <alignment horizontal="center" vertical="center"/>
    </xf>
    <xf numFmtId="1" fontId="4" fillId="0" borderId="34" xfId="0" applyNumberFormat="1" applyFont="1" applyFill="1" applyBorder="1" applyAlignment="1" applyProtection="1">
      <alignment horizontal="center" vertical="center"/>
    </xf>
    <xf numFmtId="1" fontId="4" fillId="0" borderId="75" xfId="0" applyNumberFormat="1" applyFont="1" applyFill="1" applyBorder="1" applyAlignment="1" applyProtection="1">
      <alignment horizontal="center" vertical="center"/>
    </xf>
    <xf numFmtId="165" fontId="1" fillId="0" borderId="15" xfId="0" quotePrefix="1" applyNumberFormat="1" applyFont="1" applyFill="1" applyBorder="1" applyAlignment="1" applyProtection="1">
      <alignment horizontal="center" vertical="center"/>
      <protection hidden="1"/>
    </xf>
    <xf numFmtId="165" fontId="1" fillId="0" borderId="83" xfId="0" quotePrefix="1" applyNumberFormat="1" applyFont="1" applyFill="1" applyBorder="1" applyAlignment="1" applyProtection="1">
      <alignment horizontal="center" vertical="center"/>
      <protection hidden="1"/>
    </xf>
    <xf numFmtId="0" fontId="1" fillId="0" borderId="40" xfId="0" applyNumberFormat="1" applyFont="1" applyFill="1" applyBorder="1" applyAlignment="1" applyProtection="1">
      <alignment horizontal="center"/>
      <protection locked="0" hidden="1"/>
    </xf>
    <xf numFmtId="165" fontId="3" fillId="0" borderId="19" xfId="0" quotePrefix="1" applyNumberFormat="1" applyFont="1" applyFill="1" applyBorder="1" applyAlignment="1" applyProtection="1">
      <alignment horizontal="center" vertical="center"/>
    </xf>
    <xf numFmtId="1" fontId="4" fillId="0" borderId="62" xfId="0" applyNumberFormat="1" applyFont="1" applyFill="1" applyBorder="1" applyAlignment="1" applyProtection="1">
      <alignment horizontal="right"/>
      <protection hidden="1"/>
    </xf>
    <xf numFmtId="1" fontId="3" fillId="0" borderId="48" xfId="0" quotePrefix="1" applyNumberFormat="1" applyFont="1" applyFill="1" applyBorder="1" applyAlignment="1" applyProtection="1">
      <alignment horizontal="center"/>
      <protection hidden="1"/>
    </xf>
    <xf numFmtId="0" fontId="4" fillId="0" borderId="52" xfId="0" applyFont="1" applyFill="1" applyBorder="1" applyAlignment="1">
      <alignment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 applyProtection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3" fillId="0" borderId="40" xfId="0" applyNumberFormat="1" applyFont="1" applyFill="1" applyBorder="1" applyAlignment="1" applyProtection="1">
      <alignment horizontal="center"/>
      <protection locked="0" hidden="1"/>
    </xf>
    <xf numFmtId="0" fontId="3" fillId="0" borderId="52" xfId="0" applyFont="1" applyFill="1" applyBorder="1" applyAlignment="1">
      <alignment horizontal="center" vertical="center"/>
    </xf>
    <xf numFmtId="164" fontId="3" fillId="0" borderId="35" xfId="0" applyNumberFormat="1" applyFont="1" applyFill="1" applyBorder="1" applyAlignment="1" applyProtection="1">
      <alignment horizontal="center" vertical="center"/>
      <protection locked="0" hidden="1"/>
    </xf>
    <xf numFmtId="1" fontId="3" fillId="0" borderId="95" xfId="0" applyNumberFormat="1" applyFont="1" applyFill="1" applyBorder="1" applyAlignment="1" applyProtection="1">
      <alignment horizontal="center" vertical="center"/>
      <protection hidden="1"/>
    </xf>
    <xf numFmtId="1" fontId="1" fillId="0" borderId="59" xfId="0" applyNumberFormat="1" applyFont="1" applyFill="1" applyBorder="1" applyAlignment="1">
      <alignment horizontal="center" vertical="center"/>
    </xf>
    <xf numFmtId="1" fontId="3" fillId="0" borderId="124" xfId="0" applyNumberFormat="1" applyFont="1" applyFill="1" applyBorder="1" applyAlignment="1" applyProtection="1">
      <alignment horizontal="center" vertical="center"/>
      <protection hidden="1"/>
    </xf>
    <xf numFmtId="165" fontId="1" fillId="0" borderId="22" xfId="0" applyNumberFormat="1" applyFont="1" applyFill="1" applyBorder="1" applyAlignment="1" applyProtection="1">
      <alignment horizontal="left" vertical="center"/>
      <protection locked="0" hidden="1"/>
    </xf>
    <xf numFmtId="165" fontId="1" fillId="0" borderId="22" xfId="0" applyNumberFormat="1" applyFont="1" applyFill="1" applyBorder="1" applyAlignment="1" applyProtection="1">
      <alignment horizontal="left" vertical="center"/>
    </xf>
    <xf numFmtId="165" fontId="1" fillId="0" borderId="45" xfId="0" applyNumberFormat="1" applyFont="1" applyFill="1" applyBorder="1" applyProtection="1">
      <protection hidden="1"/>
    </xf>
    <xf numFmtId="0" fontId="3" fillId="0" borderId="55" xfId="0" applyNumberFormat="1" applyFont="1" applyFill="1" applyBorder="1" applyAlignment="1" applyProtection="1">
      <alignment horizontal="center" textRotation="90"/>
      <protection hidden="1"/>
    </xf>
    <xf numFmtId="0" fontId="1" fillId="0" borderId="26" xfId="0" applyNumberFormat="1" applyFont="1" applyFill="1" applyBorder="1" applyAlignment="1" applyProtection="1">
      <alignment horizontal="center" textRotation="90"/>
      <protection hidden="1"/>
    </xf>
    <xf numFmtId="0" fontId="1" fillId="0" borderId="53" xfId="0" applyNumberFormat="1" applyFont="1" applyFill="1" applyBorder="1" applyAlignment="1" applyProtection="1">
      <alignment horizontal="center" textRotation="90"/>
      <protection hidden="1"/>
    </xf>
    <xf numFmtId="0" fontId="3" fillId="0" borderId="35" xfId="0" applyNumberFormat="1" applyFont="1" applyFill="1" applyBorder="1" applyAlignment="1" applyProtection="1">
      <alignment horizontal="center" textRotation="90"/>
      <protection hidden="1"/>
    </xf>
    <xf numFmtId="0" fontId="1" fillId="0" borderId="35" xfId="0" applyNumberFormat="1" applyFont="1" applyFill="1" applyBorder="1" applyAlignment="1" applyProtection="1">
      <alignment horizontal="center" textRotation="90" wrapText="1"/>
      <protection hidden="1"/>
    </xf>
    <xf numFmtId="0" fontId="3" fillId="0" borderId="35" xfId="0" applyNumberFormat="1" applyFont="1" applyFill="1" applyBorder="1" applyAlignment="1" applyProtection="1">
      <alignment horizontal="center" textRotation="90" wrapText="1"/>
      <protection hidden="1"/>
    </xf>
    <xf numFmtId="0" fontId="3" fillId="0" borderId="17" xfId="0" applyNumberFormat="1" applyFont="1" applyFill="1" applyBorder="1" applyAlignment="1" applyProtection="1">
      <alignment horizontal="center" textRotation="90"/>
      <protection hidden="1"/>
    </xf>
    <xf numFmtId="0" fontId="1" fillId="0" borderId="35" xfId="0" applyNumberFormat="1" applyFont="1" applyFill="1" applyBorder="1" applyAlignment="1" applyProtection="1">
      <alignment horizontal="center" textRotation="90"/>
      <protection hidden="1"/>
    </xf>
    <xf numFmtId="0" fontId="1" fillId="0" borderId="17" xfId="0" applyNumberFormat="1" applyFont="1" applyFill="1" applyBorder="1" applyAlignment="1" applyProtection="1">
      <alignment horizontal="center" textRotation="90" wrapText="1"/>
      <protection hidden="1"/>
    </xf>
    <xf numFmtId="0" fontId="3" fillId="0" borderId="101" xfId="0" applyNumberFormat="1" applyFont="1" applyFill="1" applyBorder="1" applyAlignment="1" applyProtection="1">
      <alignment horizontal="center" vertical="center"/>
      <protection hidden="1"/>
    </xf>
    <xf numFmtId="0" fontId="1" fillId="0" borderId="56" xfId="0" applyFont="1" applyFill="1" applyBorder="1" applyAlignment="1">
      <alignment horizontal="center" textRotation="90" wrapText="1"/>
    </xf>
    <xf numFmtId="0" fontId="1" fillId="0" borderId="24" xfId="0" applyNumberFormat="1" applyFont="1" applyFill="1" applyBorder="1" applyAlignment="1" applyProtection="1">
      <alignment horizontal="center" textRotation="90"/>
      <protection hidden="1"/>
    </xf>
    <xf numFmtId="0" fontId="1" fillId="0" borderId="134" xfId="0" applyNumberFormat="1" applyFont="1" applyFill="1" applyBorder="1" applyAlignment="1" applyProtection="1">
      <alignment horizontal="center" textRotation="90" wrapText="1"/>
      <protection hidden="1"/>
    </xf>
    <xf numFmtId="0" fontId="1" fillId="0" borderId="23" xfId="0" applyFont="1" applyFill="1" applyBorder="1" applyAlignment="1">
      <alignment horizontal="center" textRotation="90" wrapText="1"/>
    </xf>
    <xf numFmtId="0" fontId="1" fillId="0" borderId="24" xfId="0" applyNumberFormat="1" applyFont="1" applyFill="1" applyBorder="1" applyAlignment="1" applyProtection="1">
      <alignment horizontal="center" textRotation="90" wrapText="1"/>
    </xf>
    <xf numFmtId="0" fontId="1" fillId="0" borderId="17" xfId="0" applyNumberFormat="1" applyFont="1" applyFill="1" applyBorder="1" applyAlignment="1" applyProtection="1">
      <alignment horizontal="center" textRotation="90"/>
      <protection hidden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textRotation="90"/>
      <protection hidden="1"/>
    </xf>
    <xf numFmtId="0" fontId="0" fillId="0" borderId="49" xfId="0" applyFill="1" applyBorder="1"/>
    <xf numFmtId="1" fontId="3" fillId="0" borderId="94" xfId="0" applyNumberFormat="1" applyFont="1" applyFill="1" applyBorder="1" applyAlignment="1" applyProtection="1">
      <alignment horizontal="center"/>
      <protection hidden="1"/>
    </xf>
    <xf numFmtId="1" fontId="3" fillId="0" borderId="90" xfId="0" applyNumberFormat="1" applyFont="1" applyFill="1" applyBorder="1" applyAlignment="1" applyProtection="1">
      <alignment horizontal="center"/>
      <protection hidden="1"/>
    </xf>
    <xf numFmtId="1" fontId="3" fillId="0" borderId="92" xfId="0" applyNumberFormat="1" applyFont="1" applyFill="1" applyBorder="1" applyAlignment="1" applyProtection="1">
      <alignment horizontal="center"/>
      <protection hidden="1"/>
    </xf>
    <xf numFmtId="1" fontId="3" fillId="0" borderId="88" xfId="0" applyNumberFormat="1" applyFont="1" applyFill="1" applyBorder="1" applyAlignment="1" applyProtection="1">
      <alignment horizontal="center"/>
      <protection hidden="1"/>
    </xf>
    <xf numFmtId="165" fontId="3" fillId="0" borderId="90" xfId="0" applyNumberFormat="1" applyFont="1" applyFill="1" applyBorder="1" applyAlignment="1" applyProtection="1">
      <alignment horizontal="center"/>
      <protection hidden="1"/>
    </xf>
    <xf numFmtId="165" fontId="3" fillId="0" borderId="88" xfId="0" applyNumberFormat="1" applyFont="1" applyFill="1" applyBorder="1" applyAlignment="1" applyProtection="1">
      <alignment horizontal="center"/>
      <protection hidden="1"/>
    </xf>
    <xf numFmtId="165" fontId="3" fillId="0" borderId="92" xfId="0" applyNumberFormat="1" applyFont="1" applyFill="1" applyBorder="1" applyAlignment="1" applyProtection="1">
      <alignment horizontal="center"/>
      <protection hidden="1"/>
    </xf>
    <xf numFmtId="0" fontId="3" fillId="0" borderId="92" xfId="0" applyNumberFormat="1" applyFont="1" applyFill="1" applyBorder="1" applyAlignment="1" applyProtection="1">
      <alignment horizontal="center"/>
      <protection hidden="1"/>
    </xf>
    <xf numFmtId="0" fontId="3" fillId="0" borderId="26" xfId="0" applyNumberFormat="1" applyFont="1" applyFill="1" applyBorder="1" applyAlignment="1" applyProtection="1">
      <alignment horizontal="center"/>
      <protection hidden="1"/>
    </xf>
    <xf numFmtId="16" fontId="0" fillId="0" borderId="49" xfId="0" applyNumberFormat="1" applyFill="1" applyBorder="1"/>
    <xf numFmtId="0" fontId="4" fillId="0" borderId="49" xfId="0" applyFont="1" applyFill="1" applyBorder="1"/>
    <xf numFmtId="0" fontId="0" fillId="0" borderId="49" xfId="0" applyFill="1" applyBorder="1" applyAlignment="1">
      <alignment horizontal="left" vertical="center"/>
    </xf>
    <xf numFmtId="0" fontId="3" fillId="0" borderId="100" xfId="0" quotePrefix="1" applyNumberFormat="1" applyFont="1" applyFill="1" applyBorder="1" applyAlignment="1" applyProtection="1">
      <alignment horizontal="center" vertical="center"/>
      <protection hidden="1"/>
    </xf>
    <xf numFmtId="0" fontId="3" fillId="0" borderId="113" xfId="0" applyNumberFormat="1" applyFont="1" applyFill="1" applyBorder="1" applyAlignment="1" applyProtection="1">
      <alignment horizontal="center" vertical="center"/>
      <protection hidden="1"/>
    </xf>
    <xf numFmtId="0" fontId="3" fillId="0" borderId="102" xfId="0" applyNumberFormat="1" applyFont="1" applyFill="1" applyBorder="1" applyAlignment="1" applyProtection="1">
      <alignment horizontal="center" vertical="center"/>
      <protection hidden="1"/>
    </xf>
    <xf numFmtId="0" fontId="3" fillId="0" borderId="145" xfId="0" applyNumberFormat="1" applyFont="1" applyFill="1" applyBorder="1" applyAlignment="1" applyProtection="1">
      <alignment horizontal="center" vertical="center"/>
      <protection hidden="1"/>
    </xf>
    <xf numFmtId="0" fontId="3" fillId="0" borderId="146" xfId="0" applyNumberFormat="1" applyFont="1" applyFill="1" applyBorder="1" applyAlignment="1" applyProtection="1">
      <alignment horizontal="center" vertical="center"/>
      <protection hidden="1"/>
    </xf>
    <xf numFmtId="0" fontId="3" fillId="0" borderId="147" xfId="0" applyNumberFormat="1" applyFont="1" applyFill="1" applyBorder="1" applyAlignment="1" applyProtection="1">
      <alignment horizontal="center" vertical="center"/>
      <protection hidden="1"/>
    </xf>
    <xf numFmtId="0" fontId="1" fillId="0" borderId="148" xfId="0" applyNumberFormat="1" applyFont="1" applyFill="1" applyBorder="1" applyAlignment="1" applyProtection="1">
      <alignment horizontal="center" textRotation="90" shrinkToFit="1"/>
      <protection hidden="1"/>
    </xf>
    <xf numFmtId="0" fontId="1" fillId="0" borderId="75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75" xfId="0" applyNumberFormat="1" applyFont="1" applyFill="1" applyBorder="1" applyAlignment="1" applyProtection="1">
      <alignment horizontal="center" vertical="center"/>
      <protection hidden="1"/>
    </xf>
    <xf numFmtId="0" fontId="1" fillId="0" borderId="144" xfId="0" applyFont="1" applyFill="1" applyBorder="1" applyAlignment="1">
      <alignment vertical="center"/>
    </xf>
    <xf numFmtId="0" fontId="3" fillId="0" borderId="84" xfId="0" applyNumberFormat="1" applyFont="1" applyFill="1" applyBorder="1" applyAlignment="1" applyProtection="1">
      <alignment horizontal="center" vertical="center"/>
      <protection hidden="1"/>
    </xf>
    <xf numFmtId="1" fontId="3" fillId="0" borderId="103" xfId="1540" applyNumberFormat="1" applyFont="1" applyFill="1" applyBorder="1" applyAlignment="1" applyProtection="1">
      <alignment horizontal="center" vertical="center"/>
      <protection hidden="1"/>
    </xf>
    <xf numFmtId="1" fontId="3" fillId="0" borderId="85" xfId="1540" applyNumberFormat="1" applyFont="1" applyFill="1" applyBorder="1" applyAlignment="1" applyProtection="1">
      <alignment horizontal="center" vertical="center"/>
      <protection hidden="1"/>
    </xf>
    <xf numFmtId="0" fontId="3" fillId="0" borderId="84" xfId="1540" applyNumberFormat="1" applyFont="1" applyFill="1" applyBorder="1" applyAlignment="1" applyProtection="1">
      <alignment horizontal="center" vertical="center"/>
      <protection hidden="1"/>
    </xf>
    <xf numFmtId="1" fontId="3" fillId="0" borderId="86" xfId="1540" applyNumberFormat="1" applyFont="1" applyFill="1" applyBorder="1" applyAlignment="1" applyProtection="1">
      <alignment horizontal="center" vertical="center"/>
      <protection hidden="1"/>
    </xf>
    <xf numFmtId="0" fontId="4" fillId="0" borderId="75" xfId="0" applyNumberFormat="1" applyFont="1" applyFill="1" applyBorder="1" applyAlignment="1" applyProtection="1">
      <alignment horizontal="center" vertical="center"/>
      <protection hidden="1"/>
    </xf>
    <xf numFmtId="1" fontId="3" fillId="0" borderId="84" xfId="0" applyNumberFormat="1" applyFont="1" applyFill="1" applyBorder="1" applyAlignment="1" applyProtection="1">
      <alignment horizontal="center" vertical="center"/>
      <protection hidden="1"/>
    </xf>
    <xf numFmtId="1" fontId="3" fillId="0" borderId="103" xfId="0" applyNumberFormat="1" applyFont="1" applyFill="1" applyBorder="1" applyAlignment="1" applyProtection="1">
      <alignment horizontal="center" vertical="center"/>
      <protection hidden="1"/>
    </xf>
    <xf numFmtId="165" fontId="4" fillId="0" borderId="85" xfId="0" applyNumberFormat="1" applyFont="1" applyFill="1" applyBorder="1" applyAlignment="1" applyProtection="1">
      <alignment horizontal="center" vertical="center"/>
      <protection hidden="1"/>
    </xf>
    <xf numFmtId="1" fontId="3" fillId="0" borderId="85" xfId="0" applyNumberFormat="1" applyFont="1" applyFill="1" applyBorder="1" applyAlignment="1" applyProtection="1">
      <alignment horizontal="center" vertical="center"/>
      <protection hidden="1"/>
    </xf>
    <xf numFmtId="165" fontId="4" fillId="0" borderId="86" xfId="0" applyNumberFormat="1" applyFont="1" applyFill="1" applyBorder="1" applyAlignment="1" applyProtection="1">
      <alignment horizontal="center" vertical="center"/>
      <protection hidden="1"/>
    </xf>
    <xf numFmtId="1" fontId="1" fillId="0" borderId="84" xfId="0" applyNumberFormat="1" applyFont="1" applyFill="1" applyBorder="1" applyAlignment="1" applyProtection="1">
      <alignment horizontal="center" vertical="center"/>
      <protection hidden="1"/>
    </xf>
    <xf numFmtId="1" fontId="1" fillId="0" borderId="103" xfId="0" applyNumberFormat="1" applyFont="1" applyFill="1" applyBorder="1" applyAlignment="1" applyProtection="1">
      <alignment horizontal="center" vertical="center"/>
      <protection hidden="1"/>
    </xf>
    <xf numFmtId="165" fontId="4" fillId="0" borderId="103" xfId="0" applyNumberFormat="1" applyFont="1" applyFill="1" applyBorder="1" applyAlignment="1" applyProtection="1">
      <alignment horizontal="center" vertical="center"/>
      <protection hidden="1"/>
    </xf>
    <xf numFmtId="0" fontId="3" fillId="0" borderId="75" xfId="0" quotePrefix="1" applyNumberFormat="1" applyFont="1" applyFill="1" applyBorder="1" applyAlignment="1" applyProtection="1">
      <alignment horizontal="center" vertical="center"/>
      <protection hidden="1"/>
    </xf>
    <xf numFmtId="0" fontId="1" fillId="0" borderId="144" xfId="0" applyNumberFormat="1" applyFont="1" applyFill="1" applyBorder="1" applyAlignment="1" applyProtection="1">
      <alignment horizontal="center" vertical="center"/>
      <protection hidden="1"/>
    </xf>
    <xf numFmtId="0" fontId="1" fillId="0" borderId="149" xfId="0" applyNumberFormat="1" applyFont="1" applyFill="1" applyBorder="1" applyAlignment="1" applyProtection="1">
      <alignment horizontal="center" vertical="center"/>
      <protection hidden="1"/>
    </xf>
    <xf numFmtId="0" fontId="3" fillId="0" borderId="151" xfId="0" applyNumberFormat="1" applyFont="1" applyFill="1" applyBorder="1" applyAlignment="1" applyProtection="1">
      <alignment horizontal="center" textRotation="90" wrapText="1"/>
    </xf>
    <xf numFmtId="0" fontId="3" fillId="0" borderId="53" xfId="0" applyNumberFormat="1" applyFont="1" applyFill="1" applyBorder="1" applyAlignment="1" applyProtection="1">
      <alignment horizontal="center" vertical="center" wrapText="1"/>
    </xf>
    <xf numFmtId="164" fontId="3" fillId="0" borderId="53" xfId="0" applyNumberFormat="1" applyFont="1" applyFill="1" applyBorder="1" applyAlignment="1" applyProtection="1">
      <alignment horizontal="center" vertical="center"/>
      <protection hidden="1"/>
    </xf>
    <xf numFmtId="0" fontId="3" fillId="0" borderId="75" xfId="0" applyFont="1" applyFill="1" applyBorder="1" applyAlignment="1">
      <alignment horizontal="center" vertical="center"/>
    </xf>
    <xf numFmtId="1" fontId="3" fillId="0" borderId="95" xfId="0" applyNumberFormat="1" applyFont="1" applyFill="1" applyBorder="1" applyAlignment="1" applyProtection="1">
      <alignment horizontal="center" vertical="center"/>
    </xf>
    <xf numFmtId="165" fontId="3" fillId="0" borderId="91" xfId="0" applyNumberFormat="1" applyFont="1" applyFill="1" applyBorder="1" applyAlignment="1" applyProtection="1">
      <alignment horizontal="center" vertical="center"/>
    </xf>
    <xf numFmtId="0" fontId="4" fillId="0" borderId="75" xfId="0" applyFont="1" applyFill="1" applyBorder="1" applyAlignment="1" applyProtection="1">
      <alignment horizontal="center" vertical="center"/>
    </xf>
    <xf numFmtId="1" fontId="3" fillId="0" borderId="91" xfId="0" applyNumberFormat="1" applyFont="1" applyFill="1" applyBorder="1" applyAlignment="1" applyProtection="1">
      <alignment horizontal="center" vertical="center"/>
    </xf>
    <xf numFmtId="1" fontId="3" fillId="0" borderId="93" xfId="0" applyNumberFormat="1" applyFont="1" applyFill="1" applyBorder="1" applyAlignment="1" applyProtection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165" fontId="4" fillId="0" borderId="75" xfId="0" applyNumberFormat="1" applyFont="1" applyFill="1" applyBorder="1" applyAlignment="1" applyProtection="1">
      <alignment horizontal="center" vertical="center"/>
    </xf>
    <xf numFmtId="1" fontId="3" fillId="0" borderId="91" xfId="0" quotePrefix="1" applyNumberFormat="1" applyFont="1" applyFill="1" applyBorder="1" applyAlignment="1" applyProtection="1">
      <alignment horizontal="center" vertical="center"/>
    </xf>
    <xf numFmtId="165" fontId="3" fillId="0" borderId="89" xfId="0" applyNumberFormat="1" applyFont="1" applyFill="1" applyBorder="1" applyAlignment="1" applyProtection="1">
      <alignment horizontal="center" vertical="center"/>
    </xf>
    <xf numFmtId="165" fontId="3" fillId="0" borderId="93" xfId="0" applyNumberFormat="1" applyFont="1" applyFill="1" applyBorder="1" applyAlignment="1" applyProtection="1">
      <alignment horizontal="center" vertical="center"/>
    </xf>
    <xf numFmtId="165" fontId="3" fillId="0" borderId="75" xfId="0" applyNumberFormat="1" applyFont="1" applyFill="1" applyBorder="1" applyAlignment="1" applyProtection="1">
      <alignment horizontal="center" vertical="center"/>
    </xf>
    <xf numFmtId="0" fontId="3" fillId="0" borderId="53" xfId="0" applyNumberFormat="1" applyFont="1" applyFill="1" applyBorder="1" applyAlignment="1" applyProtection="1">
      <alignment horizontal="center" vertical="center"/>
    </xf>
    <xf numFmtId="0" fontId="4" fillId="0" borderId="144" xfId="0" applyFont="1" applyFill="1" applyBorder="1" applyAlignment="1" applyProtection="1">
      <alignment horizontal="center" vertical="center"/>
    </xf>
    <xf numFmtId="0" fontId="3" fillId="0" borderId="95" xfId="0" quotePrefix="1" applyNumberFormat="1" applyFont="1" applyFill="1" applyBorder="1" applyAlignment="1" applyProtection="1">
      <alignment horizontal="center" vertical="center"/>
    </xf>
    <xf numFmtId="0" fontId="3" fillId="0" borderId="91" xfId="0" applyNumberFormat="1" applyFont="1" applyFill="1" applyBorder="1" applyAlignment="1" applyProtection="1">
      <alignment horizontal="center" vertical="center"/>
    </xf>
    <xf numFmtId="0" fontId="3" fillId="0" borderId="147" xfId="0" applyNumberFormat="1" applyFont="1" applyFill="1" applyBorder="1" applyAlignment="1" applyProtection="1">
      <alignment horizontal="center" vertical="center"/>
    </xf>
    <xf numFmtId="0" fontId="1" fillId="0" borderId="34" xfId="0" applyNumberFormat="1" applyFont="1" applyFill="1" applyBorder="1" applyAlignment="1" applyProtection="1">
      <alignment horizontal="center" textRotation="90" wrapText="1"/>
      <protection hidden="1"/>
    </xf>
    <xf numFmtId="1" fontId="3" fillId="0" borderId="0" xfId="0" applyNumberFormat="1" applyFont="1" applyFill="1" applyBorder="1" applyAlignment="1" applyProtection="1">
      <alignment horizontal="center" vertical="center"/>
      <protection hidden="1"/>
    </xf>
    <xf numFmtId="165" fontId="3" fillId="0" borderId="90" xfId="0" quotePrefix="1" applyNumberFormat="1" applyFont="1" applyFill="1" applyBorder="1" applyAlignment="1" applyProtection="1">
      <alignment horizontal="center" vertical="center"/>
      <protection hidden="1"/>
    </xf>
    <xf numFmtId="165" fontId="1" fillId="0" borderId="29" xfId="0" quotePrefix="1" applyNumberFormat="1" applyFont="1" applyFill="1" applyBorder="1" applyAlignment="1" applyProtection="1">
      <alignment horizontal="center" vertical="center"/>
      <protection hidden="1"/>
    </xf>
    <xf numFmtId="0" fontId="1" fillId="0" borderId="34" xfId="0" quotePrefix="1" applyNumberFormat="1" applyFont="1" applyFill="1" applyBorder="1" applyAlignment="1" applyProtection="1">
      <alignment horizontal="center" vertical="center"/>
      <protection hidden="1"/>
    </xf>
    <xf numFmtId="0" fontId="3" fillId="0" borderId="99" xfId="0" applyNumberFormat="1" applyFont="1" applyFill="1" applyBorder="1" applyAlignment="1" applyProtection="1">
      <alignment horizontal="center" vertical="center"/>
      <protection hidden="1"/>
    </xf>
    <xf numFmtId="0" fontId="11" fillId="0" borderId="49" xfId="0" applyFont="1" applyFill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0" fontId="1" fillId="0" borderId="49" xfId="0" applyFont="1" applyFill="1" applyBorder="1"/>
    <xf numFmtId="0" fontId="3" fillId="0" borderId="134" xfId="0" applyNumberFormat="1" applyFont="1" applyFill="1" applyBorder="1" applyAlignment="1" applyProtection="1">
      <alignment horizontal="center" textRotation="90" wrapText="1"/>
    </xf>
    <xf numFmtId="165" fontId="3" fillId="0" borderId="78" xfId="0" applyNumberFormat="1" applyFont="1" applyFill="1" applyBorder="1" applyAlignment="1" applyProtection="1">
      <alignment horizontal="center" vertical="center"/>
      <protection hidden="1"/>
    </xf>
    <xf numFmtId="1" fontId="3" fillId="0" borderId="54" xfId="0" applyNumberFormat="1" applyFont="1" applyFill="1" applyBorder="1" applyAlignment="1" applyProtection="1">
      <alignment horizontal="center" vertical="center"/>
      <protection hidden="1"/>
    </xf>
    <xf numFmtId="165" fontId="3" fillId="0" borderId="28" xfId="0" quotePrefix="1" applyNumberFormat="1" applyFont="1" applyFill="1" applyBorder="1" applyAlignment="1" applyProtection="1">
      <alignment horizontal="center" vertical="center"/>
      <protection hidden="1"/>
    </xf>
    <xf numFmtId="165" fontId="1" fillId="0" borderId="28" xfId="0" quotePrefix="1" applyNumberFormat="1" applyFont="1" applyFill="1" applyBorder="1" applyAlignment="1" applyProtection="1">
      <alignment horizontal="center" vertical="center"/>
      <protection hidden="1"/>
    </xf>
    <xf numFmtId="165" fontId="3" fillId="0" borderId="29" xfId="0" quotePrefix="1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56" xfId="0" applyNumberFormat="1" applyFont="1" applyFill="1" applyBorder="1" applyAlignment="1" applyProtection="1">
      <alignment horizontal="center" textRotation="90"/>
      <protection hidden="1"/>
    </xf>
    <xf numFmtId="16" fontId="3" fillId="0" borderId="26" xfId="0" applyNumberFormat="1" applyFont="1" applyFill="1" applyBorder="1" applyAlignment="1">
      <alignment horizontal="center" vertical="center"/>
    </xf>
    <xf numFmtId="1" fontId="3" fillId="0" borderId="110" xfId="0" applyNumberFormat="1" applyFont="1" applyFill="1" applyBorder="1" applyAlignment="1" applyProtection="1">
      <alignment horizontal="center" vertical="center"/>
      <protection hidden="1"/>
    </xf>
    <xf numFmtId="165" fontId="3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34" xfId="0" applyNumberFormat="1" applyFont="1" applyFill="1" applyBorder="1" applyAlignment="1" applyProtection="1">
      <alignment horizontal="center" vertical="center"/>
      <protection hidden="1"/>
    </xf>
    <xf numFmtId="0" fontId="3" fillId="0" borderId="88" xfId="0" applyNumberFormat="1" applyFont="1" applyFill="1" applyBorder="1" applyAlignment="1" applyProtection="1">
      <alignment horizontal="center" vertical="center"/>
      <protection hidden="1"/>
    </xf>
    <xf numFmtId="0" fontId="3" fillId="0" borderId="90" xfId="0" applyNumberFormat="1" applyFont="1" applyFill="1" applyBorder="1" applyAlignment="1" applyProtection="1">
      <alignment horizontal="center" vertical="center"/>
      <protection hidden="1"/>
    </xf>
    <xf numFmtId="0" fontId="11" fillId="0" borderId="49" xfId="0" applyFont="1" applyFill="1" applyBorder="1"/>
    <xf numFmtId="0" fontId="1" fillId="0" borderId="26" xfId="0" applyNumberFormat="1" applyFont="1" applyFill="1" applyBorder="1" applyAlignment="1" applyProtection="1">
      <alignment horizontal="center" vertical="center" wrapText="1"/>
    </xf>
    <xf numFmtId="164" fontId="1" fillId="0" borderId="26" xfId="0" applyNumberFormat="1" applyFont="1" applyFill="1" applyBorder="1" applyAlignment="1" applyProtection="1">
      <alignment horizontal="center" vertical="center"/>
      <protection hidden="1"/>
    </xf>
    <xf numFmtId="1" fontId="1" fillId="0" borderId="94" xfId="0" applyNumberFormat="1" applyFont="1" applyFill="1" applyBorder="1" applyAlignment="1" applyProtection="1">
      <alignment horizontal="center" vertical="center"/>
    </xf>
    <xf numFmtId="165" fontId="1" fillId="0" borderId="90" xfId="0" applyNumberFormat="1" applyFont="1" applyFill="1" applyBorder="1" applyAlignment="1" applyProtection="1">
      <alignment horizontal="center" vertical="center"/>
    </xf>
    <xf numFmtId="1" fontId="1" fillId="0" borderId="92" xfId="0" applyNumberFormat="1" applyFont="1" applyFill="1" applyBorder="1" applyAlignment="1" applyProtection="1">
      <alignment horizontal="center" vertical="center"/>
      <protection hidden="1"/>
    </xf>
    <xf numFmtId="1" fontId="1" fillId="0" borderId="90" xfId="0" applyNumberFormat="1" applyFont="1" applyFill="1" applyBorder="1" applyAlignment="1" applyProtection="1">
      <alignment horizontal="center" vertical="center"/>
    </xf>
    <xf numFmtId="1" fontId="1" fillId="0" borderId="92" xfId="0" applyNumberFormat="1" applyFont="1" applyFill="1" applyBorder="1" applyAlignment="1" applyProtection="1">
      <alignment horizontal="center" vertical="center"/>
    </xf>
    <xf numFmtId="165" fontId="1" fillId="0" borderId="92" xfId="0" applyNumberFormat="1" applyFont="1" applyFill="1" applyBorder="1" applyAlignment="1" applyProtection="1">
      <alignment horizontal="center" vertical="center"/>
    </xf>
    <xf numFmtId="1" fontId="1" fillId="0" borderId="110" xfId="0" applyNumberFormat="1" applyFont="1" applyFill="1" applyBorder="1" applyAlignment="1" applyProtection="1">
      <alignment horizontal="center" vertical="center"/>
    </xf>
    <xf numFmtId="165" fontId="1" fillId="0" borderId="94" xfId="0" applyNumberFormat="1" applyFont="1" applyFill="1" applyBorder="1" applyAlignment="1" applyProtection="1">
      <alignment horizontal="center" vertical="center"/>
    </xf>
    <xf numFmtId="0" fontId="1" fillId="0" borderId="26" xfId="0" quotePrefix="1" applyNumberFormat="1" applyFont="1" applyFill="1" applyBorder="1" applyAlignment="1" applyProtection="1">
      <alignment horizontal="center" vertical="center"/>
    </xf>
    <xf numFmtId="0" fontId="3" fillId="0" borderId="94" xfId="0" applyNumberFormat="1" applyFont="1" applyFill="1" applyBorder="1" applyAlignment="1" applyProtection="1">
      <alignment horizontal="center" vertical="center"/>
    </xf>
    <xf numFmtId="2" fontId="0" fillId="0" borderId="49" xfId="0" applyNumberFormat="1" applyFill="1" applyBorder="1" applyAlignment="1">
      <alignment vertical="center"/>
    </xf>
    <xf numFmtId="165" fontId="0" fillId="0" borderId="49" xfId="0" applyNumberFormat="1" applyFill="1" applyBorder="1" applyAlignment="1">
      <alignment vertical="center"/>
    </xf>
    <xf numFmtId="0" fontId="1" fillId="0" borderId="10" xfId="0" applyNumberFormat="1" applyFont="1" applyFill="1" applyBorder="1" applyAlignment="1" applyProtection="1">
      <alignment horizontal="center" textRotation="90" wrapText="1"/>
    </xf>
    <xf numFmtId="0" fontId="1" fillId="0" borderId="10" xfId="0" applyFont="1" applyFill="1" applyBorder="1" applyAlignment="1">
      <alignment horizontal="center" textRotation="90" wrapText="1"/>
    </xf>
    <xf numFmtId="0" fontId="1" fillId="0" borderId="26" xfId="0" applyFont="1" applyFill="1" applyBorder="1" applyAlignment="1" applyProtection="1">
      <alignment horizontal="center" vertical="center"/>
      <protection locked="0" hidden="1"/>
    </xf>
    <xf numFmtId="0" fontId="3" fillId="0" borderId="60" xfId="0" applyNumberFormat="1" applyFont="1" applyFill="1" applyBorder="1" applyAlignment="1" applyProtection="1">
      <alignment horizontal="center" vertical="center"/>
    </xf>
    <xf numFmtId="0" fontId="4" fillId="0" borderId="49" xfId="0" applyNumberFormat="1" applyFont="1" applyFill="1" applyBorder="1" applyAlignment="1" applyProtection="1">
      <alignment horizontal="center" textRotation="90"/>
      <protection hidden="1"/>
    </xf>
    <xf numFmtId="165" fontId="0" fillId="0" borderId="49" xfId="0" applyNumberFormat="1" applyFill="1" applyBorder="1" applyAlignment="1">
      <alignment horizontal="center" vertical="center"/>
    </xf>
    <xf numFmtId="0" fontId="0" fillId="0" borderId="0" xfId="0" applyFont="1" applyFill="1" applyBorder="1"/>
    <xf numFmtId="164" fontId="3" fillId="0" borderId="19" xfId="0" quotePrefix="1" applyNumberFormat="1" applyFont="1" applyFill="1" applyBorder="1" applyAlignment="1" applyProtection="1">
      <alignment horizontal="center" vertical="center"/>
      <protection hidden="1"/>
    </xf>
    <xf numFmtId="0" fontId="3" fillId="0" borderId="27" xfId="0" quotePrefix="1" applyNumberFormat="1" applyFont="1" applyFill="1" applyBorder="1" applyAlignment="1" applyProtection="1">
      <alignment horizontal="center" vertical="center" wrapText="1"/>
    </xf>
    <xf numFmtId="0" fontId="3" fillId="0" borderId="40" xfId="0" applyNumberFormat="1" applyFont="1" applyFill="1" applyBorder="1" applyAlignment="1" applyProtection="1">
      <alignment horizontal="center"/>
      <protection locked="0" hidden="1"/>
    </xf>
    <xf numFmtId="0" fontId="1" fillId="0" borderId="34" xfId="0" quotePrefix="1" applyNumberFormat="1" applyFont="1" applyFill="1" applyBorder="1" applyAlignment="1" applyProtection="1">
      <alignment horizontal="center" vertical="center"/>
    </xf>
    <xf numFmtId="164" fontId="3" fillId="0" borderId="77" xfId="0" applyNumberFormat="1" applyFont="1" applyFill="1" applyBorder="1" applyAlignment="1" applyProtection="1">
      <alignment horizontal="center" vertical="center"/>
      <protection hidden="1"/>
    </xf>
    <xf numFmtId="1" fontId="3" fillId="0" borderId="28" xfId="0" quotePrefix="1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locked="0" hidden="1"/>
    </xf>
    <xf numFmtId="0" fontId="3" fillId="0" borderId="78" xfId="0" quotePrefix="1" applyNumberFormat="1" applyFont="1" applyFill="1" applyBorder="1" applyAlignment="1" applyProtection="1">
      <alignment horizontal="center" vertical="center"/>
      <protection hidden="1"/>
    </xf>
    <xf numFmtId="0" fontId="3" fillId="0" borderId="28" xfId="0" quotePrefix="1" applyNumberFormat="1" applyFont="1" applyFill="1" applyBorder="1" applyAlignment="1" applyProtection="1">
      <alignment horizontal="center" vertical="center"/>
      <protection hidden="1"/>
    </xf>
    <xf numFmtId="0" fontId="1" fillId="0" borderId="34" xfId="0" applyFont="1" applyFill="1" applyBorder="1" applyAlignment="1">
      <alignment horizontal="center" textRotation="90" wrapText="1"/>
    </xf>
    <xf numFmtId="165" fontId="1" fillId="0" borderId="7" xfId="0" quotePrefix="1" applyNumberFormat="1" applyFont="1" applyFill="1" applyBorder="1" applyAlignment="1" applyProtection="1">
      <alignment horizontal="center" vertical="center"/>
      <protection hidden="1"/>
    </xf>
    <xf numFmtId="0" fontId="1" fillId="0" borderId="54" xfId="0" applyNumberFormat="1" applyFont="1" applyFill="1" applyBorder="1" applyAlignment="1" applyProtection="1">
      <alignment horizontal="center" vertical="center" wrapText="1"/>
    </xf>
    <xf numFmtId="0" fontId="1" fillId="0" borderId="151" xfId="0" applyFont="1" applyFill="1" applyBorder="1" applyAlignment="1">
      <alignment horizontal="center" textRotation="90"/>
    </xf>
    <xf numFmtId="1" fontId="1" fillId="0" borderId="50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65" fontId="1" fillId="0" borderId="37" xfId="0" applyNumberFormat="1" applyFont="1" applyBorder="1" applyAlignment="1">
      <alignment horizontal="center" vertical="center"/>
    </xf>
    <xf numFmtId="165" fontId="1" fillId="0" borderId="22" xfId="0" applyNumberFormat="1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165" fontId="1" fillId="0" borderId="58" xfId="0" applyNumberFormat="1" applyFont="1" applyBorder="1" applyAlignment="1">
      <alignment horizontal="center" vertical="center"/>
    </xf>
    <xf numFmtId="1" fontId="1" fillId="0" borderId="61" xfId="0" applyNumberFormat="1" applyFont="1" applyBorder="1" applyAlignment="1" applyProtection="1">
      <alignment horizontal="center" vertical="center"/>
      <protection hidden="1"/>
    </xf>
    <xf numFmtId="1" fontId="1" fillId="0" borderId="21" xfId="0" applyNumberFormat="1" applyFont="1" applyBorder="1" applyAlignment="1" applyProtection="1">
      <alignment horizontal="center" vertical="center"/>
      <protection hidden="1"/>
    </xf>
    <xf numFmtId="1" fontId="1" fillId="0" borderId="6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" fontId="1" fillId="0" borderId="45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" fontId="1" fillId="0" borderId="37" xfId="0" applyNumberFormat="1" applyFont="1" applyBorder="1" applyAlignment="1" applyProtection="1">
      <alignment horizontal="center" vertical="center"/>
      <protection hidden="1"/>
    </xf>
    <xf numFmtId="1" fontId="1" fillId="0" borderId="2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21" xfId="0" quotePrefix="1" applyNumberFormat="1" applyFont="1" applyBorder="1" applyAlignment="1">
      <alignment horizontal="center" vertical="center"/>
    </xf>
    <xf numFmtId="165" fontId="4" fillId="0" borderId="36" xfId="0" applyNumberFormat="1" applyFont="1" applyBorder="1" applyAlignment="1">
      <alignment horizontal="center" vertical="center"/>
    </xf>
    <xf numFmtId="165" fontId="4" fillId="0" borderId="27" xfId="0" applyNumberFormat="1" applyFont="1" applyBorder="1" applyAlignment="1">
      <alignment horizontal="center" vertical="center"/>
    </xf>
    <xf numFmtId="165" fontId="4" fillId="0" borderId="34" xfId="0" applyNumberFormat="1" applyFont="1" applyBorder="1" applyAlignment="1">
      <alignment horizontal="center" vertical="center"/>
    </xf>
    <xf numFmtId="1" fontId="1" fillId="0" borderId="14" xfId="0" quotePrefix="1" applyNumberFormat="1" applyFont="1" applyBorder="1" applyAlignment="1">
      <alignment horizontal="center" vertical="center"/>
    </xf>
    <xf numFmtId="165" fontId="1" fillId="0" borderId="46" xfId="0" quotePrefix="1" applyNumberFormat="1" applyFont="1" applyBorder="1" applyAlignment="1">
      <alignment horizontal="center" vertical="center"/>
    </xf>
    <xf numFmtId="165" fontId="1" fillId="0" borderId="33" xfId="0" quotePrefix="1" applyNumberFormat="1" applyFont="1" applyBorder="1" applyAlignment="1">
      <alignment horizontal="center" vertical="center"/>
    </xf>
    <xf numFmtId="165" fontId="1" fillId="0" borderId="18" xfId="0" applyNumberFormat="1" applyFont="1" applyBorder="1" applyAlignment="1">
      <alignment horizontal="center" vertical="center"/>
    </xf>
    <xf numFmtId="165" fontId="1" fillId="0" borderId="36" xfId="0" quotePrefix="1" applyNumberFormat="1" applyFont="1" applyBorder="1" applyAlignment="1">
      <alignment horizontal="center" vertical="center"/>
    </xf>
    <xf numFmtId="165" fontId="1" fillId="0" borderId="27" xfId="0" quotePrefix="1" applyNumberFormat="1" applyFont="1" applyBorder="1" applyAlignment="1">
      <alignment horizontal="center" vertical="center"/>
    </xf>
    <xf numFmtId="165" fontId="1" fillId="0" borderId="26" xfId="0" applyNumberFormat="1" applyFont="1" applyBorder="1" applyAlignment="1">
      <alignment horizontal="center" vertical="center"/>
    </xf>
    <xf numFmtId="165" fontId="1" fillId="0" borderId="34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" fontId="1" fillId="0" borderId="33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165" fontId="1" fillId="0" borderId="45" xfId="0" applyNumberFormat="1" applyFont="1" applyBorder="1" applyAlignment="1">
      <alignment horizontal="center" vertical="center"/>
    </xf>
    <xf numFmtId="1" fontId="1" fillId="0" borderId="109" xfId="0" applyNumberFormat="1" applyFont="1" applyBorder="1" applyAlignment="1">
      <alignment horizontal="center" vertical="center"/>
    </xf>
    <xf numFmtId="165" fontId="1" fillId="0" borderId="109" xfId="0" applyNumberFormat="1" applyFont="1" applyBorder="1" applyAlignment="1">
      <alignment horizontal="center" vertical="center"/>
    </xf>
    <xf numFmtId="165" fontId="1" fillId="0" borderId="61" xfId="0" applyNumberFormat="1" applyFont="1" applyBorder="1" applyAlignment="1">
      <alignment horizontal="center" vertical="center"/>
    </xf>
    <xf numFmtId="165" fontId="1" fillId="0" borderId="83" xfId="0" applyNumberFormat="1" applyFont="1" applyBorder="1" applyAlignment="1">
      <alignment horizontal="center" vertical="center"/>
    </xf>
    <xf numFmtId="165" fontId="1" fillId="0" borderId="22" xfId="0" quotePrefix="1" applyNumberFormat="1" applyFont="1" applyBorder="1" applyAlignment="1" applyProtection="1">
      <alignment horizontal="center" vertical="center"/>
      <protection locked="0" hidden="1"/>
    </xf>
    <xf numFmtId="165" fontId="1" fillId="0" borderId="13" xfId="0" applyNumberFormat="1" applyFont="1" applyBorder="1" applyAlignment="1">
      <alignment horizontal="center" vertical="center"/>
    </xf>
    <xf numFmtId="165" fontId="1" fillId="0" borderId="59" xfId="0" applyNumberFormat="1" applyFont="1" applyBorder="1" applyAlignment="1">
      <alignment horizontal="center" vertical="center"/>
    </xf>
    <xf numFmtId="165" fontId="1" fillId="0" borderId="14" xfId="0" quotePrefix="1" applyNumberFormat="1" applyFont="1" applyBorder="1" applyAlignment="1">
      <alignment horizontal="center" vertical="center"/>
    </xf>
    <xf numFmtId="165" fontId="1" fillId="0" borderId="90" xfId="0" quotePrefix="1" applyNumberFormat="1" applyFont="1" applyBorder="1" applyAlignment="1">
      <alignment horizontal="center" vertical="center"/>
    </xf>
    <xf numFmtId="165" fontId="1" fillId="0" borderId="28" xfId="0" quotePrefix="1" applyNumberFormat="1" applyFont="1" applyBorder="1" applyAlignment="1">
      <alignment horizontal="center" vertical="center"/>
    </xf>
    <xf numFmtId="165" fontId="1" fillId="0" borderId="110" xfId="0" quotePrefix="1" applyNumberFormat="1" applyFont="1" applyBorder="1" applyAlignment="1">
      <alignment horizontal="center" vertical="center"/>
    </xf>
    <xf numFmtId="165" fontId="1" fillId="0" borderId="83" xfId="0" quotePrefix="1" applyNumberFormat="1" applyFont="1" applyBorder="1" applyAlignment="1">
      <alignment horizontal="center" vertical="center"/>
    </xf>
    <xf numFmtId="1" fontId="1" fillId="0" borderId="94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1" fontId="1" fillId="0" borderId="60" xfId="0" applyNumberFormat="1" applyFont="1" applyFill="1" applyBorder="1" applyAlignment="1">
      <alignment horizontal="center" vertical="center"/>
    </xf>
    <xf numFmtId="165" fontId="1" fillId="0" borderId="90" xfId="0" applyNumberFormat="1" applyFont="1" applyFill="1" applyBorder="1" applyAlignment="1">
      <alignment horizontal="center" vertical="center"/>
    </xf>
    <xf numFmtId="165" fontId="1" fillId="0" borderId="14" xfId="0" applyNumberFormat="1" applyFont="1" applyFill="1" applyBorder="1" applyAlignment="1">
      <alignment horizontal="center" vertical="center"/>
    </xf>
    <xf numFmtId="165" fontId="1" fillId="0" borderId="58" xfId="0" applyNumberFormat="1" applyFont="1" applyFill="1" applyBorder="1" applyAlignment="1">
      <alignment horizontal="center" vertical="center"/>
    </xf>
    <xf numFmtId="165" fontId="1" fillId="0" borderId="28" xfId="0" applyNumberFormat="1" applyFont="1" applyFill="1" applyBorder="1" applyAlignment="1">
      <alignment horizontal="center" vertical="center"/>
    </xf>
    <xf numFmtId="1" fontId="1" fillId="0" borderId="73" xfId="0" applyNumberFormat="1" applyFont="1" applyFill="1" applyBorder="1" applyAlignment="1" applyProtection="1">
      <alignment horizontal="center" vertical="center"/>
      <protection hidden="1"/>
    </xf>
    <xf numFmtId="1" fontId="1" fillId="0" borderId="90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1" fontId="1" fillId="0" borderId="78" xfId="0" applyNumberFormat="1" applyFont="1" applyFill="1" applyBorder="1" applyAlignment="1">
      <alignment horizontal="center" vertical="center"/>
    </xf>
    <xf numFmtId="1" fontId="1" fillId="0" borderId="92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3" xfId="0" applyNumberFormat="1" applyFont="1" applyFill="1" applyBorder="1" applyAlignment="1">
      <alignment horizontal="center" vertical="center"/>
    </xf>
    <xf numFmtId="1" fontId="1" fillId="0" borderId="29" xfId="0" applyNumberFormat="1" applyFont="1" applyFill="1" applyBorder="1" applyAlignment="1">
      <alignment horizontal="center" vertical="center"/>
    </xf>
    <xf numFmtId="165" fontId="4" fillId="0" borderId="34" xfId="0" applyNumberFormat="1" applyFont="1" applyFill="1" applyBorder="1" applyAlignment="1">
      <alignment horizontal="center" vertical="center"/>
    </xf>
    <xf numFmtId="1" fontId="1" fillId="0" borderId="90" xfId="0" quotePrefix="1" applyNumberFormat="1" applyFont="1" applyFill="1" applyBorder="1" applyAlignment="1">
      <alignment horizontal="center" vertical="center"/>
    </xf>
    <xf numFmtId="1" fontId="1" fillId="0" borderId="14" xfId="0" quotePrefix="1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165" fontId="1" fillId="0" borderId="88" xfId="0" applyNumberFormat="1" applyFont="1" applyFill="1" applyBorder="1" applyAlignment="1">
      <alignment horizontal="center" vertical="center"/>
    </xf>
    <xf numFmtId="165" fontId="1" fillId="0" borderId="18" xfId="0" applyNumberFormat="1" applyFont="1" applyFill="1" applyBorder="1" applyAlignment="1">
      <alignment horizontal="center" vertical="center"/>
    </xf>
    <xf numFmtId="165" fontId="1" fillId="0" borderId="87" xfId="0" applyNumberFormat="1" applyFont="1" applyFill="1" applyBorder="1" applyAlignment="1">
      <alignment horizontal="center" vertical="center"/>
    </xf>
    <xf numFmtId="165" fontId="1" fillId="0" borderId="78" xfId="0" applyNumberFormat="1" applyFont="1" applyFill="1" applyBorder="1" applyAlignment="1">
      <alignment horizontal="center" vertical="center"/>
    </xf>
    <xf numFmtId="165" fontId="1" fillId="0" borderId="34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1" fontId="1" fillId="0" borderId="87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65" fontId="1" fillId="0" borderId="92" xfId="0" applyNumberFormat="1" applyFont="1" applyFill="1" applyBorder="1" applyAlignment="1">
      <alignment horizontal="center" vertical="center"/>
    </xf>
    <xf numFmtId="165" fontId="1" fillId="0" borderId="29" xfId="0" applyNumberFormat="1" applyFont="1" applyFill="1" applyBorder="1" applyAlignment="1">
      <alignment horizontal="center" vertical="center"/>
    </xf>
    <xf numFmtId="1" fontId="1" fillId="0" borderId="83" xfId="0" applyNumberFormat="1" applyFont="1" applyFill="1" applyBorder="1" applyAlignment="1">
      <alignment horizontal="center" vertical="center"/>
    </xf>
    <xf numFmtId="1" fontId="1" fillId="0" borderId="19" xfId="0" quotePrefix="1" applyNumberFormat="1" applyFont="1" applyBorder="1" applyAlignment="1">
      <alignment horizontal="center" vertical="center"/>
    </xf>
    <xf numFmtId="165" fontId="1" fillId="0" borderId="37" xfId="0" quotePrefix="1" applyNumberFormat="1" applyFont="1" applyBorder="1" applyAlignment="1">
      <alignment horizontal="center" vertical="center"/>
    </xf>
    <xf numFmtId="165" fontId="1" fillId="0" borderId="21" xfId="0" quotePrefix="1" applyNumberFormat="1" applyFont="1" applyBorder="1" applyAlignment="1">
      <alignment horizontal="center" vertical="center"/>
    </xf>
    <xf numFmtId="165" fontId="1" fillId="0" borderId="50" xfId="0" quotePrefix="1" applyNumberFormat="1" applyFont="1" applyBorder="1" applyAlignment="1">
      <alignment horizontal="center" vertical="center"/>
    </xf>
    <xf numFmtId="165" fontId="1" fillId="0" borderId="45" xfId="0" quotePrefix="1" applyNumberFormat="1" applyFont="1" applyBorder="1" applyAlignment="1">
      <alignment horizontal="center" vertical="center"/>
    </xf>
    <xf numFmtId="165" fontId="1" fillId="0" borderId="109" xfId="0" quotePrefix="1" applyNumberFormat="1" applyFont="1" applyBorder="1" applyAlignment="1">
      <alignment horizontal="center" vertical="center"/>
    </xf>
    <xf numFmtId="1" fontId="1" fillId="0" borderId="50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165" fontId="1" fillId="0" borderId="37" xfId="0" applyNumberFormat="1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/>
    </xf>
    <xf numFmtId="1" fontId="1" fillId="0" borderId="45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1" fontId="1" fillId="0" borderId="37" xfId="0" applyNumberFormat="1" applyFont="1" applyFill="1" applyBorder="1" applyAlignment="1">
      <alignment horizontal="center" vertical="center"/>
    </xf>
    <xf numFmtId="1" fontId="1" fillId="0" borderId="19" xfId="0" quotePrefix="1" applyNumberFormat="1" applyFont="1" applyFill="1" applyBorder="1" applyAlignment="1">
      <alignment horizontal="center" vertical="center"/>
    </xf>
    <xf numFmtId="165" fontId="4" fillId="0" borderId="36" xfId="0" applyNumberFormat="1" applyFont="1" applyFill="1" applyBorder="1" applyAlignment="1">
      <alignment horizontal="center" vertical="center"/>
    </xf>
    <xf numFmtId="165" fontId="4" fillId="0" borderId="27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165" fontId="1" fillId="0" borderId="37" xfId="0" quotePrefix="1" applyNumberFormat="1" applyFont="1" applyFill="1" applyBorder="1" applyAlignment="1">
      <alignment horizontal="center" vertical="center"/>
    </xf>
    <xf numFmtId="165" fontId="1" fillId="0" borderId="21" xfId="0" quotePrefix="1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165" fontId="1" fillId="0" borderId="36" xfId="0" quotePrefix="1" applyNumberFormat="1" applyFont="1" applyFill="1" applyBorder="1" applyAlignment="1">
      <alignment horizontal="center" vertical="center"/>
    </xf>
    <xf numFmtId="165" fontId="1" fillId="0" borderId="27" xfId="0" quotePrefix="1" applyNumberFormat="1" applyFont="1" applyFill="1" applyBorder="1" applyAlignment="1">
      <alignment horizontal="center" vertical="center"/>
    </xf>
    <xf numFmtId="165" fontId="1" fillId="0" borderId="35" xfId="0" applyNumberFormat="1" applyFont="1" applyFill="1" applyBorder="1" applyAlignment="1">
      <alignment horizontal="center" vertical="center"/>
    </xf>
    <xf numFmtId="1" fontId="1" fillId="0" borderId="48" xfId="0" applyNumberFormat="1" applyFont="1" applyFill="1" applyBorder="1" applyAlignment="1">
      <alignment horizontal="center" vertical="center"/>
    </xf>
    <xf numFmtId="1" fontId="1" fillId="0" borderId="31" xfId="0" applyNumberFormat="1" applyFont="1" applyFill="1" applyBorder="1" applyAlignment="1">
      <alignment horizontal="center" vertical="center"/>
    </xf>
    <xf numFmtId="1" fontId="1" fillId="0" borderId="36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165" fontId="1" fillId="0" borderId="45" xfId="0" applyNumberFormat="1" applyFont="1" applyFill="1" applyBorder="1" applyAlignment="1">
      <alignment horizontal="center" vertical="center"/>
    </xf>
    <xf numFmtId="1" fontId="1" fillId="0" borderId="109" xfId="0" applyNumberFormat="1" applyFont="1" applyFill="1" applyBorder="1" applyAlignment="1">
      <alignment horizontal="center" vertical="center"/>
    </xf>
    <xf numFmtId="165" fontId="1" fillId="0" borderId="109" xfId="0" applyNumberFormat="1" applyFont="1" applyFill="1" applyBorder="1" applyAlignment="1">
      <alignment horizontal="center" vertical="center"/>
    </xf>
    <xf numFmtId="165" fontId="1" fillId="0" borderId="61" xfId="0" applyNumberFormat="1" applyFont="1" applyFill="1" applyBorder="1" applyAlignment="1">
      <alignment horizontal="center" vertical="center"/>
    </xf>
    <xf numFmtId="165" fontId="1" fillId="0" borderId="83" xfId="0" applyNumberFormat="1" applyFont="1" applyFill="1" applyBorder="1" applyAlignment="1">
      <alignment horizontal="center" vertical="center"/>
    </xf>
    <xf numFmtId="165" fontId="13" fillId="0" borderId="34" xfId="0" applyNumberFormat="1" applyFont="1" applyFill="1" applyBorder="1" applyAlignment="1">
      <alignment horizontal="center" vertical="center"/>
    </xf>
    <xf numFmtId="165" fontId="1" fillId="0" borderId="50" xfId="0" quotePrefix="1" applyNumberFormat="1" applyFont="1" applyFill="1" applyBorder="1" applyAlignment="1">
      <alignment horizontal="center" vertical="center"/>
    </xf>
    <xf numFmtId="165" fontId="1" fillId="0" borderId="22" xfId="0" quotePrefix="1" applyNumberFormat="1" applyFont="1" applyFill="1" applyBorder="1" applyAlignment="1" applyProtection="1">
      <alignment horizontal="center" vertical="center"/>
      <protection locked="0" hidden="1"/>
    </xf>
    <xf numFmtId="165" fontId="1" fillId="0" borderId="13" xfId="0" applyNumberFormat="1" applyFont="1" applyFill="1" applyBorder="1" applyAlignment="1">
      <alignment horizontal="center" vertical="center"/>
    </xf>
    <xf numFmtId="165" fontId="1" fillId="0" borderId="45" xfId="0" quotePrefix="1" applyNumberFormat="1" applyFont="1" applyFill="1" applyBorder="1" applyAlignment="1">
      <alignment horizontal="center" vertical="center"/>
    </xf>
    <xf numFmtId="165" fontId="1" fillId="0" borderId="14" xfId="0" quotePrefix="1" applyNumberFormat="1" applyFont="1" applyFill="1" applyBorder="1" applyAlignment="1">
      <alignment horizontal="center" vertical="center"/>
    </xf>
    <xf numFmtId="165" fontId="1" fillId="0" borderId="109" xfId="0" quotePrefix="1" applyNumberFormat="1" applyFont="1" applyFill="1" applyBorder="1" applyAlignment="1">
      <alignment horizontal="center" vertical="center"/>
    </xf>
    <xf numFmtId="165" fontId="1" fillId="0" borderId="83" xfId="0" quotePrefix="1" applyNumberFormat="1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/>
    </xf>
    <xf numFmtId="1" fontId="1" fillId="0" borderId="61" xfId="0" applyNumberFormat="1" applyFont="1" applyBorder="1" applyAlignment="1">
      <alignment horizontal="center" vertical="center"/>
    </xf>
    <xf numFmtId="165" fontId="1" fillId="0" borderId="13" xfId="0" quotePrefix="1" applyNumberFormat="1" applyFont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1" fontId="1" fillId="0" borderId="92" xfId="0" quotePrefix="1" applyNumberFormat="1" applyFont="1" applyFill="1" applyBorder="1" applyAlignment="1" applyProtection="1">
      <alignment horizontal="center" vertical="center"/>
      <protection hidden="1"/>
    </xf>
    <xf numFmtId="1" fontId="1" fillId="0" borderId="21" xfId="0" quotePrefix="1" applyNumberFormat="1" applyFont="1" applyFill="1" applyBorder="1" applyAlignment="1">
      <alignment horizontal="center" vertical="center"/>
    </xf>
    <xf numFmtId="165" fontId="1" fillId="0" borderId="49" xfId="0" quotePrefix="1" applyNumberFormat="1" applyFont="1" applyFill="1" applyBorder="1" applyAlignment="1">
      <alignment horizontal="center" vertical="center"/>
    </xf>
    <xf numFmtId="165" fontId="1" fillId="0" borderId="25" xfId="0" applyNumberFormat="1" applyFont="1" applyFill="1" applyBorder="1" applyAlignment="1">
      <alignment horizontal="center" vertical="center"/>
    </xf>
    <xf numFmtId="165" fontId="1" fillId="0" borderId="75" xfId="0" applyNumberFormat="1" applyFont="1" applyFill="1" applyBorder="1" applyAlignment="1">
      <alignment horizontal="center" vertical="center"/>
    </xf>
    <xf numFmtId="1" fontId="1" fillId="0" borderId="61" xfId="0" applyNumberFormat="1" applyFont="1" applyFill="1" applyBorder="1" applyAlignment="1">
      <alignment horizontal="center" vertical="center"/>
    </xf>
    <xf numFmtId="1" fontId="1" fillId="0" borderId="110" xfId="0" applyNumberFormat="1" applyFont="1" applyFill="1" applyBorder="1" applyAlignment="1">
      <alignment horizontal="center" vertical="center"/>
    </xf>
    <xf numFmtId="165" fontId="1" fillId="0" borderId="110" xfId="0" applyNumberFormat="1" applyFont="1" applyFill="1" applyBorder="1" applyAlignment="1">
      <alignment horizontal="center" vertical="center"/>
    </xf>
    <xf numFmtId="165" fontId="1" fillId="0" borderId="110" xfId="0" quotePrefix="1" applyNumberFormat="1" applyFont="1" applyFill="1" applyBorder="1" applyAlignment="1">
      <alignment horizontal="center" vertical="center"/>
    </xf>
    <xf numFmtId="165" fontId="1" fillId="0" borderId="13" xfId="0" quotePrefix="1" applyNumberFormat="1" applyFont="1" applyFill="1" applyBorder="1" applyAlignment="1">
      <alignment horizontal="center" vertical="center"/>
    </xf>
    <xf numFmtId="165" fontId="1" fillId="0" borderId="94" xfId="0" applyNumberFormat="1" applyFont="1" applyFill="1" applyBorder="1" applyAlignment="1">
      <alignment horizontal="center" vertical="center"/>
    </xf>
    <xf numFmtId="165" fontId="1" fillId="0" borderId="90" xfId="0" quotePrefix="1" applyNumberFormat="1" applyFont="1" applyFill="1" applyBorder="1" applyAlignment="1">
      <alignment horizontal="center" vertical="center"/>
    </xf>
    <xf numFmtId="1" fontId="1" fillId="0" borderId="28" xfId="0" quotePrefix="1" applyNumberFormat="1" applyFont="1" applyFill="1" applyBorder="1" applyAlignment="1">
      <alignment horizontal="center" vertical="center"/>
    </xf>
    <xf numFmtId="165" fontId="1" fillId="0" borderId="45" xfId="0" quotePrefix="1" applyNumberFormat="1" applyFont="1" applyFill="1" applyBorder="1" applyAlignment="1" applyProtection="1">
      <alignment horizontal="center" vertical="center"/>
      <protection locked="0" hidden="1"/>
    </xf>
    <xf numFmtId="165" fontId="1" fillId="0" borderId="37" xfId="0" quotePrefix="1" applyNumberFormat="1" applyFont="1" applyFill="1" applyBorder="1" applyAlignment="1" applyProtection="1">
      <alignment horizontal="center" vertical="center"/>
      <protection locked="0" hidden="1"/>
    </xf>
    <xf numFmtId="165" fontId="1" fillId="0" borderId="20" xfId="0" quotePrefix="1" applyNumberFormat="1" applyFont="1" applyBorder="1" applyAlignment="1">
      <alignment horizontal="center" vertical="center"/>
    </xf>
    <xf numFmtId="165" fontId="1" fillId="0" borderId="22" xfId="0" quotePrefix="1" applyNumberFormat="1" applyFont="1" applyBorder="1" applyAlignment="1">
      <alignment horizontal="center" vertical="center"/>
    </xf>
    <xf numFmtId="165" fontId="1" fillId="0" borderId="61" xfId="0" quotePrefix="1" applyNumberFormat="1" applyFont="1" applyBorder="1" applyAlignment="1">
      <alignment horizontal="center" vertical="center"/>
    </xf>
    <xf numFmtId="1" fontId="1" fillId="0" borderId="0" xfId="0" quotePrefix="1" applyNumberFormat="1" applyFont="1" applyFill="1" applyAlignment="1">
      <alignment horizontal="center" vertical="center"/>
    </xf>
    <xf numFmtId="165" fontId="1" fillId="0" borderId="29" xfId="0" quotePrefix="1" applyNumberFormat="1" applyFont="1" applyFill="1" applyBorder="1" applyAlignment="1">
      <alignment horizontal="center" vertical="center"/>
    </xf>
    <xf numFmtId="165" fontId="1" fillId="0" borderId="60" xfId="0" quotePrefix="1" applyNumberFormat="1" applyFont="1" applyBorder="1" applyAlignment="1">
      <alignment horizontal="center" vertical="center"/>
    </xf>
    <xf numFmtId="165" fontId="1" fillId="0" borderId="68" xfId="0" quotePrefix="1" applyNumberFormat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0" xfId="0" quotePrefix="1" applyFont="1" applyBorder="1" applyAlignment="1">
      <alignment horizontal="center"/>
    </xf>
    <xf numFmtId="0" fontId="1" fillId="0" borderId="28" xfId="0" quotePrefix="1" applyFont="1" applyBorder="1" applyAlignment="1">
      <alignment horizontal="center"/>
    </xf>
    <xf numFmtId="0" fontId="1" fillId="0" borderId="29" xfId="0" quotePrefix="1" applyFont="1" applyBorder="1" applyAlignment="1">
      <alignment horizontal="center"/>
    </xf>
    <xf numFmtId="1" fontId="1" fillId="0" borderId="20" xfId="0" applyNumberFormat="1" applyFont="1" applyBorder="1" applyAlignment="1" applyProtection="1">
      <alignment horizontal="center"/>
      <protection hidden="1"/>
    </xf>
    <xf numFmtId="1" fontId="1" fillId="0" borderId="22" xfId="0" applyNumberFormat="1" applyFont="1" applyBorder="1" applyAlignment="1" applyProtection="1">
      <alignment horizontal="center"/>
      <protection hidden="1"/>
    </xf>
    <xf numFmtId="1" fontId="1" fillId="0" borderId="21" xfId="0" applyNumberFormat="1" applyFont="1" applyBorder="1" applyAlignment="1" applyProtection="1">
      <alignment horizontal="center"/>
      <protection hidden="1"/>
    </xf>
    <xf numFmtId="0" fontId="4" fillId="0" borderId="27" xfId="0" applyFont="1" applyBorder="1" applyAlignment="1" applyProtection="1">
      <alignment horizontal="center"/>
      <protection hidden="1"/>
    </xf>
    <xf numFmtId="1" fontId="1" fillId="0" borderId="33" xfId="0" applyNumberFormat="1" applyFont="1" applyBorder="1" applyAlignment="1" applyProtection="1">
      <alignment horizontal="center"/>
      <protection hidden="1"/>
    </xf>
    <xf numFmtId="165" fontId="1" fillId="0" borderId="22" xfId="0" applyNumberFormat="1" applyFont="1" applyBorder="1" applyAlignment="1" applyProtection="1">
      <alignment horizontal="center"/>
      <protection hidden="1"/>
    </xf>
    <xf numFmtId="165" fontId="1" fillId="0" borderId="27" xfId="0" applyNumberFormat="1" applyFont="1" applyBorder="1" applyAlignment="1" applyProtection="1">
      <alignment horizontal="center"/>
      <protection hidden="1"/>
    </xf>
    <xf numFmtId="165" fontId="1" fillId="0" borderId="19" xfId="0" applyNumberFormat="1" applyFont="1" applyBorder="1" applyAlignment="1" applyProtection="1">
      <alignment horizontal="center"/>
      <protection hidden="1"/>
    </xf>
    <xf numFmtId="0" fontId="1" fillId="0" borderId="61" xfId="0" applyFont="1" applyBorder="1" applyAlignment="1" applyProtection="1">
      <alignment horizontal="center"/>
      <protection hidden="1"/>
    </xf>
    <xf numFmtId="0" fontId="1" fillId="0" borderId="27" xfId="0" applyFont="1" applyBorder="1" applyAlignment="1" applyProtection="1">
      <alignment horizontal="center"/>
      <protection hidden="1"/>
    </xf>
    <xf numFmtId="0" fontId="0" fillId="0" borderId="72" xfId="0" applyFill="1" applyBorder="1" applyAlignment="1">
      <alignment horizontal="center"/>
    </xf>
    <xf numFmtId="0" fontId="0" fillId="0" borderId="91" xfId="0" applyFill="1" applyBorder="1" applyAlignment="1">
      <alignment horizontal="center"/>
    </xf>
    <xf numFmtId="0" fontId="0" fillId="0" borderId="132" xfId="0" applyFill="1" applyBorder="1" applyAlignment="1">
      <alignment horizontal="center"/>
    </xf>
    <xf numFmtId="0" fontId="0" fillId="0" borderId="153" xfId="0" applyFill="1" applyBorder="1" applyAlignment="1">
      <alignment horizontal="center"/>
    </xf>
    <xf numFmtId="0" fontId="0" fillId="0" borderId="78" xfId="0" applyFill="1" applyBorder="1" applyAlignment="1">
      <alignment horizontal="center"/>
    </xf>
    <xf numFmtId="0" fontId="4" fillId="0" borderId="142" xfId="0" applyFont="1" applyFill="1" applyBorder="1" applyAlignment="1">
      <alignment horizontal="center"/>
    </xf>
    <xf numFmtId="0" fontId="0" fillId="0" borderId="95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18" xfId="0" applyFont="1" applyBorder="1" applyAlignment="1" applyProtection="1">
      <alignment horizontal="center"/>
      <protection hidden="1"/>
    </xf>
    <xf numFmtId="0" fontId="1" fillId="0" borderId="6" xfId="1540" applyFont="1" applyBorder="1" applyAlignment="1" applyProtection="1">
      <alignment horizontal="center"/>
      <protection hidden="1"/>
    </xf>
    <xf numFmtId="0" fontId="1" fillId="0" borderId="95" xfId="0" applyFont="1" applyBorder="1" applyAlignment="1" applyProtection="1">
      <alignment horizontal="center"/>
      <protection hidden="1"/>
    </xf>
    <xf numFmtId="0" fontId="1" fillId="0" borderId="147" xfId="1540" applyFont="1" applyBorder="1" applyAlignment="1" applyProtection="1">
      <alignment horizontal="center"/>
      <protection hidden="1"/>
    </xf>
    <xf numFmtId="1" fontId="1" fillId="0" borderId="14" xfId="0" applyNumberFormat="1" applyFont="1" applyBorder="1" applyAlignment="1" applyProtection="1">
      <alignment horizontal="center" vertical="center"/>
      <protection hidden="1"/>
    </xf>
    <xf numFmtId="0" fontId="1" fillId="0" borderId="33" xfId="0" applyFont="1" applyBorder="1" applyAlignment="1" applyProtection="1">
      <alignment horizontal="center" vertical="center"/>
      <protection hidden="1"/>
    </xf>
    <xf numFmtId="165" fontId="1" fillId="0" borderId="21" xfId="0" applyNumberFormat="1" applyFont="1" applyBorder="1" applyAlignment="1" applyProtection="1">
      <alignment horizontal="center" vertical="center"/>
      <protection hidden="1"/>
    </xf>
    <xf numFmtId="165" fontId="1" fillId="0" borderId="6" xfId="0" applyNumberFormat="1" applyFont="1" applyBorder="1" applyAlignment="1" applyProtection="1">
      <alignment horizontal="center" vertical="center"/>
      <protection hidden="1"/>
    </xf>
    <xf numFmtId="165" fontId="1" fillId="0" borderId="92" xfId="0" applyNumberFormat="1" applyFont="1" applyBorder="1" applyAlignment="1" applyProtection="1">
      <alignment horizontal="center" vertical="center"/>
      <protection hidden="1"/>
    </xf>
    <xf numFmtId="165" fontId="1" fillId="0" borderId="73" xfId="0" applyNumberFormat="1" applyFont="1" applyBorder="1" applyAlignment="1" applyProtection="1">
      <alignment horizontal="center" vertical="center"/>
      <protection hidden="1"/>
    </xf>
    <xf numFmtId="1" fontId="1" fillId="0" borderId="88" xfId="0" applyNumberFormat="1" applyFont="1" applyFill="1" applyBorder="1" applyAlignment="1" applyProtection="1">
      <alignment horizontal="center" vertical="center"/>
      <protection hidden="1"/>
    </xf>
    <xf numFmtId="1" fontId="1" fillId="0" borderId="18" xfId="0" applyNumberFormat="1" applyFont="1" applyFill="1" applyBorder="1" applyAlignment="1" applyProtection="1">
      <alignment horizontal="center" vertical="center"/>
      <protection hidden="1"/>
    </xf>
    <xf numFmtId="1" fontId="1" fillId="0" borderId="87" xfId="0" applyNumberFormat="1" applyFont="1" applyFill="1" applyBorder="1" applyAlignment="1" applyProtection="1">
      <alignment horizontal="center" vertical="center"/>
      <protection hidden="1"/>
    </xf>
    <xf numFmtId="1" fontId="1" fillId="0" borderId="14" xfId="1540" applyNumberFormat="1" applyFont="1" applyBorder="1" applyAlignment="1" applyProtection="1">
      <alignment horizontal="center" vertical="center"/>
      <protection hidden="1"/>
    </xf>
    <xf numFmtId="1" fontId="1" fillId="0" borderId="6" xfId="1540" applyNumberFormat="1" applyFont="1" applyBorder="1" applyAlignment="1" applyProtection="1">
      <alignment horizontal="center" vertical="center"/>
      <protection hidden="1"/>
    </xf>
    <xf numFmtId="1" fontId="1" fillId="0" borderId="83" xfId="1540" applyNumberFormat="1" applyFont="1" applyBorder="1" applyAlignment="1" applyProtection="1">
      <alignment horizontal="center" vertical="center"/>
      <protection hidden="1"/>
    </xf>
    <xf numFmtId="1" fontId="1" fillId="0" borderId="13" xfId="0" applyNumberFormat="1" applyFont="1" applyBorder="1" applyAlignment="1" applyProtection="1">
      <alignment horizontal="center" vertical="center"/>
      <protection hidden="1"/>
    </xf>
    <xf numFmtId="1" fontId="1" fillId="0" borderId="59" xfId="0" applyNumberFormat="1" applyFont="1" applyBorder="1" applyAlignment="1" applyProtection="1">
      <alignment horizontal="center" vertical="center"/>
      <protection hidden="1"/>
    </xf>
    <xf numFmtId="1" fontId="1" fillId="0" borderId="58" xfId="0" applyNumberFormat="1" applyFont="1" applyBorder="1" applyAlignment="1" applyProtection="1">
      <alignment horizontal="center" vertical="center"/>
      <protection hidden="1"/>
    </xf>
    <xf numFmtId="165" fontId="4" fillId="0" borderId="14" xfId="0" applyNumberFormat="1" applyFont="1" applyBorder="1" applyAlignment="1" applyProtection="1">
      <alignment horizontal="center" vertical="center"/>
      <protection hidden="1"/>
    </xf>
    <xf numFmtId="165" fontId="4" fillId="0" borderId="58" xfId="0" applyNumberFormat="1" applyFont="1" applyBorder="1" applyAlignment="1" applyProtection="1">
      <alignment horizontal="center" vertical="center"/>
      <protection hidden="1"/>
    </xf>
    <xf numFmtId="1" fontId="1" fillId="0" borderId="58" xfId="1540" applyNumberFormat="1" applyFont="1" applyBorder="1" applyAlignment="1" applyProtection="1">
      <alignment horizontal="center" vertical="center"/>
      <protection hidden="1"/>
    </xf>
    <xf numFmtId="0" fontId="1" fillId="0" borderId="13" xfId="1540" applyFont="1" applyBorder="1" applyAlignment="1" applyProtection="1">
      <alignment horizontal="center" vertical="center"/>
      <protection hidden="1"/>
    </xf>
    <xf numFmtId="0" fontId="3" fillId="0" borderId="49" xfId="0" quotePrefix="1" applyFont="1" applyFill="1" applyBorder="1" applyAlignment="1" applyProtection="1">
      <alignment horizontal="center" vertical="center"/>
    </xf>
    <xf numFmtId="165" fontId="1" fillId="0" borderId="20" xfId="0" quotePrefix="1" applyNumberFormat="1" applyFont="1" applyBorder="1" applyAlignment="1" applyProtection="1">
      <alignment horizontal="center" vertical="center"/>
      <protection locked="0" hidden="1"/>
    </xf>
    <xf numFmtId="165" fontId="3" fillId="0" borderId="93" xfId="0" applyNumberFormat="1" applyFont="1" applyFill="1" applyBorder="1" applyAlignment="1" applyProtection="1">
      <alignment horizontal="center" vertical="center"/>
      <protection hidden="1"/>
    </xf>
    <xf numFmtId="165" fontId="3" fillId="0" borderId="27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41" xfId="0" applyNumberFormat="1" applyFont="1" applyFill="1" applyBorder="1" applyAlignment="1" applyProtection="1">
      <alignment horizontal="center" vertical="center"/>
      <protection hidden="1"/>
    </xf>
    <xf numFmtId="165" fontId="3" fillId="0" borderId="35" xfId="0" applyNumberFormat="1" applyFont="1" applyFill="1" applyBorder="1" applyAlignment="1" applyProtection="1">
      <alignment horizontal="center" vertical="center"/>
      <protection hidden="1"/>
    </xf>
    <xf numFmtId="165" fontId="1" fillId="0" borderId="125" xfId="0" applyNumberFormat="1" applyFont="1" applyFill="1" applyBorder="1" applyAlignment="1" applyProtection="1">
      <alignment horizontal="center" vertical="center"/>
      <protection hidden="1"/>
    </xf>
    <xf numFmtId="165" fontId="11" fillId="0" borderId="76" xfId="0" applyNumberFormat="1" applyFont="1" applyFill="1" applyBorder="1" applyAlignment="1" applyProtection="1">
      <alignment horizontal="center" vertical="center"/>
      <protection hidden="1"/>
    </xf>
    <xf numFmtId="165" fontId="11" fillId="0" borderId="77" xfId="0" applyNumberFormat="1" applyFont="1" applyFill="1" applyBorder="1" applyAlignment="1" applyProtection="1">
      <alignment horizontal="center" vertical="center"/>
      <protection hidden="1"/>
    </xf>
    <xf numFmtId="165" fontId="3" fillId="0" borderId="77" xfId="0" applyNumberFormat="1" applyFont="1" applyFill="1" applyBorder="1" applyAlignment="1" applyProtection="1">
      <alignment horizontal="center" vertical="center"/>
      <protection hidden="1"/>
    </xf>
    <xf numFmtId="165" fontId="3" fillId="0" borderId="105" xfId="0" quotePrefix="1" applyNumberFormat="1" applyFont="1" applyFill="1" applyBorder="1" applyAlignment="1" applyProtection="1">
      <alignment horizontal="center" vertical="center"/>
      <protection hidden="1"/>
    </xf>
    <xf numFmtId="165" fontId="3" fillId="0" borderId="124" xfId="0" quotePrefix="1" applyNumberFormat="1" applyFont="1" applyFill="1" applyBorder="1" applyAlignment="1" applyProtection="1">
      <alignment horizontal="center" vertical="center"/>
      <protection hidden="1"/>
    </xf>
    <xf numFmtId="165" fontId="11" fillId="0" borderId="13" xfId="0" applyNumberFormat="1" applyFont="1" applyFill="1" applyBorder="1" applyAlignment="1" applyProtection="1">
      <alignment horizontal="center" vertical="center"/>
      <protection hidden="1"/>
    </xf>
    <xf numFmtId="165" fontId="1" fillId="0" borderId="35" xfId="0" applyNumberFormat="1" applyFont="1" applyFill="1" applyBorder="1" applyAlignment="1" applyProtection="1">
      <alignment horizontal="center" vertical="center"/>
      <protection hidden="1"/>
    </xf>
    <xf numFmtId="165" fontId="3" fillId="0" borderId="17" xfId="0" applyNumberFormat="1" applyFont="1" applyFill="1" applyBorder="1" applyAlignment="1" applyProtection="1">
      <alignment horizontal="center" vertical="center"/>
      <protection hidden="1"/>
    </xf>
    <xf numFmtId="165" fontId="1" fillId="0" borderId="17" xfId="0" applyNumberFormat="1" applyFont="1" applyFill="1" applyBorder="1" applyAlignment="1" applyProtection="1">
      <alignment horizontal="center" vertical="center"/>
      <protection hidden="1"/>
    </xf>
    <xf numFmtId="165" fontId="3" fillId="0" borderId="75" xfId="0" applyNumberFormat="1" applyFont="1" applyFill="1" applyBorder="1" applyAlignment="1" applyProtection="1">
      <alignment horizontal="center" vertical="center"/>
      <protection hidden="1"/>
    </xf>
    <xf numFmtId="165" fontId="1" fillId="0" borderId="58" xfId="0" quotePrefix="1" applyNumberFormat="1" applyFont="1" applyFill="1" applyBorder="1" applyAlignment="1" applyProtection="1">
      <alignment horizontal="center" vertical="center"/>
      <protection hidden="1"/>
    </xf>
    <xf numFmtId="165" fontId="1" fillId="0" borderId="91" xfId="0" quotePrefix="1" applyNumberFormat="1" applyFont="1" applyFill="1" applyBorder="1" applyAlignment="1" applyProtection="1">
      <alignment horizontal="center" vertical="center"/>
      <protection hidden="1"/>
    </xf>
    <xf numFmtId="165" fontId="3" fillId="0" borderId="154" xfId="0" quotePrefix="1" applyNumberFormat="1" applyFont="1" applyFill="1" applyBorder="1" applyAlignment="1" applyProtection="1">
      <alignment horizontal="center" vertical="center"/>
      <protection hidden="1"/>
    </xf>
    <xf numFmtId="165" fontId="3" fillId="0" borderId="154" xfId="0" applyNumberFormat="1" applyFont="1" applyFill="1" applyBorder="1" applyAlignment="1" applyProtection="1">
      <alignment horizontal="center" vertical="center"/>
      <protection hidden="1"/>
    </xf>
    <xf numFmtId="165" fontId="3" fillId="0" borderId="97" xfId="0" quotePrefix="1" applyNumberFormat="1" applyFont="1" applyFill="1" applyBorder="1" applyAlignment="1" applyProtection="1">
      <alignment horizontal="center" vertical="center"/>
      <protection hidden="1"/>
    </xf>
    <xf numFmtId="165" fontId="3" fillId="0" borderId="97" xfId="0" applyNumberFormat="1" applyFont="1" applyFill="1" applyBorder="1" applyAlignment="1" applyProtection="1">
      <alignment horizontal="center" vertical="center"/>
      <protection hidden="1"/>
    </xf>
    <xf numFmtId="0" fontId="1" fillId="0" borderId="77" xfId="0" applyFont="1" applyFill="1" applyBorder="1" applyAlignment="1">
      <alignment horizontal="center"/>
    </xf>
    <xf numFmtId="0" fontId="3" fillId="0" borderId="54" xfId="0" quotePrefix="1" applyNumberFormat="1" applyFont="1" applyFill="1" applyBorder="1" applyAlignment="1" applyProtection="1">
      <alignment horizontal="center" vertical="center"/>
    </xf>
    <xf numFmtId="0" fontId="1" fillId="0" borderId="5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165" fontId="1" fillId="0" borderId="52" xfId="0" quotePrefix="1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165" fontId="1" fillId="0" borderId="16" xfId="0" quotePrefix="1" applyNumberFormat="1" applyFont="1" applyFill="1" applyBorder="1" applyAlignment="1">
      <alignment horizontal="center" vertical="center"/>
    </xf>
    <xf numFmtId="165" fontId="1" fillId="0" borderId="42" xfId="0" applyNumberFormat="1" applyFont="1" applyFill="1" applyBorder="1" applyAlignment="1">
      <alignment horizontal="center" vertical="center"/>
    </xf>
    <xf numFmtId="165" fontId="1" fillId="0" borderId="42" xfId="0" quotePrefix="1" applyNumberFormat="1" applyFont="1" applyFill="1" applyBorder="1" applyAlignment="1">
      <alignment horizontal="center" vertical="center"/>
    </xf>
    <xf numFmtId="165" fontId="1" fillId="0" borderId="21" xfId="0" quotePrefix="1" applyNumberFormat="1" applyFont="1" applyFill="1" applyBorder="1" applyAlignment="1" applyProtection="1">
      <alignment horizontal="center" vertical="center"/>
      <protection locked="0" hidden="1"/>
    </xf>
    <xf numFmtId="165" fontId="1" fillId="0" borderId="27" xfId="0" quotePrefix="1" applyNumberFormat="1" applyFont="1" applyFill="1" applyBorder="1" applyAlignment="1" applyProtection="1">
      <alignment horizontal="center" vertical="center"/>
      <protection locked="0" hidden="1"/>
    </xf>
    <xf numFmtId="1" fontId="3" fillId="0" borderId="39" xfId="0" applyNumberFormat="1" applyFont="1" applyFill="1" applyBorder="1" applyAlignment="1" applyProtection="1">
      <alignment horizontal="center" vertical="center"/>
    </xf>
    <xf numFmtId="165" fontId="1" fillId="0" borderId="36" xfId="0" applyNumberFormat="1" applyFont="1" applyBorder="1" applyAlignment="1">
      <alignment horizontal="center" vertical="center"/>
    </xf>
    <xf numFmtId="165" fontId="1" fillId="0" borderId="27" xfId="0" applyNumberFormat="1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0" fontId="3" fillId="0" borderId="54" xfId="0" applyNumberFormat="1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165" fontId="1" fillId="0" borderId="21" xfId="0" quotePrefix="1" applyNumberFormat="1" applyFont="1" applyBorder="1" applyAlignment="1" applyProtection="1">
      <alignment horizontal="center" vertical="center"/>
      <protection locked="0" hidden="1"/>
    </xf>
    <xf numFmtId="165" fontId="1" fillId="0" borderId="155" xfId="0" applyNumberFormat="1" applyFont="1" applyBorder="1" applyAlignment="1">
      <alignment horizontal="center" vertical="center"/>
    </xf>
    <xf numFmtId="165" fontId="1" fillId="0" borderId="31" xfId="0" applyNumberFormat="1" applyFont="1" applyBorder="1" applyAlignment="1">
      <alignment horizontal="center" vertical="center"/>
    </xf>
    <xf numFmtId="165" fontId="1" fillId="0" borderId="32" xfId="0" applyNumberFormat="1" applyFont="1" applyBorder="1" applyAlignment="1">
      <alignment horizontal="center" vertical="center"/>
    </xf>
    <xf numFmtId="165" fontId="1" fillId="0" borderId="95" xfId="0" applyNumberFormat="1" applyFont="1" applyBorder="1" applyAlignment="1">
      <alignment horizontal="center" vertical="center"/>
    </xf>
    <xf numFmtId="165" fontId="1" fillId="0" borderId="91" xfId="0" quotePrefix="1" applyNumberFormat="1" applyFont="1" applyBorder="1" applyAlignment="1">
      <alignment horizontal="center" vertical="center"/>
    </xf>
    <xf numFmtId="165" fontId="1" fillId="0" borderId="132" xfId="0" applyNumberFormat="1" applyFont="1" applyBorder="1" applyAlignment="1">
      <alignment horizontal="center" vertical="center"/>
    </xf>
    <xf numFmtId="0" fontId="3" fillId="0" borderId="152" xfId="0" applyNumberFormat="1" applyFont="1" applyFill="1" applyBorder="1" applyAlignment="1" applyProtection="1">
      <alignment horizontal="center" vertical="center"/>
    </xf>
    <xf numFmtId="165" fontId="1" fillId="0" borderId="59" xfId="0" quotePrefix="1" applyNumberFormat="1" applyFont="1" applyBorder="1" applyAlignment="1">
      <alignment horizontal="center" vertical="center"/>
    </xf>
    <xf numFmtId="165" fontId="1" fillId="0" borderId="82" xfId="0" applyNumberFormat="1" applyFont="1" applyBorder="1" applyAlignment="1">
      <alignment horizontal="center" vertical="center"/>
    </xf>
    <xf numFmtId="165" fontId="1" fillId="0" borderId="61" xfId="0" quotePrefix="1" applyNumberFormat="1" applyFont="1" applyBorder="1" applyAlignment="1" applyProtection="1">
      <alignment horizontal="center" vertical="center"/>
      <protection locked="0" hidden="1"/>
    </xf>
    <xf numFmtId="0" fontId="0" fillId="0" borderId="19" xfId="0" applyFill="1" applyBorder="1" applyAlignment="1">
      <alignment horizontal="center"/>
    </xf>
    <xf numFmtId="165" fontId="1" fillId="0" borderId="94" xfId="0" quotePrefix="1" applyNumberFormat="1" applyFont="1" applyBorder="1" applyAlignment="1">
      <alignment horizontal="center" vertical="center"/>
    </xf>
    <xf numFmtId="165" fontId="3" fillId="0" borderId="19" xfId="0" applyNumberFormat="1" applyFont="1" applyFill="1" applyBorder="1" applyAlignment="1" applyProtection="1">
      <alignment horizontal="center" vertical="center"/>
    </xf>
    <xf numFmtId="165" fontId="3" fillId="0" borderId="19" xfId="0" quotePrefix="1" applyNumberFormat="1" applyFont="1" applyFill="1" applyBorder="1" applyAlignment="1" applyProtection="1">
      <alignment horizontal="center" vertical="center"/>
      <protection locked="0" hidden="1"/>
    </xf>
    <xf numFmtId="165" fontId="3" fillId="0" borderId="27" xfId="0" quotePrefix="1" applyNumberFormat="1" applyFont="1" applyFill="1" applyBorder="1" applyAlignment="1" applyProtection="1">
      <alignment horizontal="center" vertical="center"/>
      <protection locked="0" hidden="1"/>
    </xf>
    <xf numFmtId="165" fontId="3" fillId="0" borderId="7" xfId="0" applyNumberFormat="1" applyFont="1" applyFill="1" applyBorder="1" applyAlignment="1" applyProtection="1">
      <alignment horizontal="center" vertical="center"/>
    </xf>
    <xf numFmtId="165" fontId="3" fillId="0" borderId="0" xfId="0" quotePrefix="1" applyNumberFormat="1" applyFont="1" applyFill="1" applyBorder="1" applyAlignment="1" applyProtection="1">
      <alignment horizontal="center" vertical="center"/>
    </xf>
    <xf numFmtId="165" fontId="3" fillId="0" borderId="36" xfId="0" applyNumberFormat="1" applyFont="1" applyFill="1" applyBorder="1" applyAlignment="1" applyProtection="1">
      <alignment horizontal="center" vertical="center"/>
    </xf>
    <xf numFmtId="165" fontId="3" fillId="0" borderId="53" xfId="0" applyNumberFormat="1" applyFont="1" applyFill="1" applyBorder="1" applyAlignment="1" applyProtection="1">
      <alignment horizontal="center" vertical="center"/>
    </xf>
    <xf numFmtId="0" fontId="3" fillId="0" borderId="33" xfId="0" quotePrefix="1" applyFont="1" applyFill="1" applyBorder="1" applyAlignment="1" applyProtection="1">
      <alignment horizontal="center" vertical="center"/>
    </xf>
    <xf numFmtId="0" fontId="46" fillId="0" borderId="17" xfId="0" applyFont="1" applyBorder="1" applyAlignment="1">
      <alignment horizontal="center" vertical="center" wrapText="1"/>
    </xf>
    <xf numFmtId="164" fontId="46" fillId="0" borderId="17" xfId="0" applyNumberFormat="1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>
      <alignment horizontal="left"/>
    </xf>
    <xf numFmtId="0" fontId="4" fillId="0" borderId="48" xfId="0" applyFont="1" applyFill="1" applyBorder="1" applyAlignment="1" applyProtection="1">
      <alignment vertical="center"/>
      <protection locked="0" hidden="1"/>
    </xf>
    <xf numFmtId="0" fontId="1" fillId="0" borderId="61" xfId="0" applyFont="1" applyFill="1" applyBorder="1" applyAlignment="1" applyProtection="1">
      <alignment vertical="center"/>
    </xf>
    <xf numFmtId="0" fontId="1" fillId="0" borderId="33" xfId="0" applyFont="1" applyFill="1" applyBorder="1" applyAlignment="1" applyProtection="1">
      <alignment vertical="center"/>
    </xf>
    <xf numFmtId="165" fontId="1" fillId="0" borderId="22" xfId="0" applyNumberFormat="1" applyFont="1" applyFill="1" applyBorder="1" applyAlignment="1" applyProtection="1">
      <alignment vertical="center"/>
    </xf>
    <xf numFmtId="0" fontId="1" fillId="0" borderId="19" xfId="0" applyFont="1" applyFill="1" applyBorder="1" applyAlignment="1" applyProtection="1">
      <alignment vertical="center"/>
    </xf>
    <xf numFmtId="0" fontId="4" fillId="0" borderId="27" xfId="0" applyFont="1" applyFill="1" applyBorder="1" applyAlignment="1" applyProtection="1">
      <alignment vertical="center"/>
      <protection locked="0" hidden="1"/>
    </xf>
    <xf numFmtId="0" fontId="1" fillId="0" borderId="21" xfId="0" applyFont="1" applyFill="1" applyBorder="1" applyAlignment="1" applyProtection="1">
      <alignment vertical="center"/>
    </xf>
    <xf numFmtId="0" fontId="1" fillId="0" borderId="37" xfId="0" applyFont="1" applyFill="1" applyBorder="1" applyAlignment="1" applyProtection="1">
      <alignment vertical="center"/>
    </xf>
    <xf numFmtId="165" fontId="1" fillId="0" borderId="37" xfId="1540" applyNumberFormat="1" applyFont="1" applyFill="1" applyBorder="1" applyAlignment="1" applyProtection="1">
      <alignment vertical="center"/>
      <protection hidden="1"/>
    </xf>
    <xf numFmtId="165" fontId="1" fillId="0" borderId="37" xfId="0" applyNumberFormat="1" applyFont="1" applyFill="1" applyBorder="1" applyAlignment="1" applyProtection="1">
      <alignment vertical="center"/>
      <protection hidden="1"/>
    </xf>
    <xf numFmtId="0" fontId="4" fillId="0" borderId="49" xfId="0" applyFont="1" applyFill="1" applyBorder="1" applyAlignment="1" applyProtection="1">
      <alignment horizontal="right" vertical="center"/>
    </xf>
    <xf numFmtId="0" fontId="47" fillId="0" borderId="17" xfId="0" applyFont="1" applyBorder="1"/>
    <xf numFmtId="0" fontId="7" fillId="0" borderId="17" xfId="0" applyFont="1" applyBorder="1"/>
    <xf numFmtId="0" fontId="47" fillId="0" borderId="17" xfId="0" applyFont="1" applyBorder="1" applyAlignment="1">
      <alignment horizontal="left"/>
    </xf>
    <xf numFmtId="0" fontId="7" fillId="0" borderId="17" xfId="1540" applyFont="1" applyBorder="1"/>
    <xf numFmtId="0" fontId="7" fillId="0" borderId="17" xfId="1540" applyFont="1" applyFill="1" applyBorder="1"/>
    <xf numFmtId="0" fontId="47" fillId="0" borderId="17" xfId="0" applyFont="1" applyFill="1" applyBorder="1"/>
    <xf numFmtId="0" fontId="47" fillId="0" borderId="17" xfId="0" applyFont="1" applyFill="1" applyBorder="1" applyAlignment="1">
      <alignment horizontal="left"/>
    </xf>
    <xf numFmtId="0" fontId="7" fillId="0" borderId="17" xfId="1540" applyFont="1" applyBorder="1" applyAlignment="1">
      <alignment horizontal="left"/>
    </xf>
    <xf numFmtId="0" fontId="47" fillId="0" borderId="31" xfId="0" applyFont="1" applyBorder="1"/>
    <xf numFmtId="0" fontId="7" fillId="0" borderId="17" xfId="0" applyFont="1" applyFill="1" applyBorder="1"/>
    <xf numFmtId="0" fontId="1" fillId="0" borderId="17" xfId="0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/>
    </xf>
    <xf numFmtId="0" fontId="1" fillId="0" borderId="34" xfId="0" applyFont="1" applyBorder="1" applyAlignment="1" applyProtection="1">
      <alignment horizontal="center" vertical="center"/>
      <protection locked="0" hidden="1"/>
    </xf>
    <xf numFmtId="1" fontId="1" fillId="0" borderId="58" xfId="0" applyNumberFormat="1" applyFont="1" applyBorder="1" applyAlignment="1" applyProtection="1">
      <alignment horizontal="center" vertical="center"/>
      <protection locked="0" hidden="1"/>
    </xf>
    <xf numFmtId="1" fontId="1" fillId="0" borderId="73" xfId="0" applyNumberFormat="1" applyFont="1" applyBorder="1" applyAlignment="1" applyProtection="1">
      <alignment horizontal="center" vertical="center"/>
      <protection hidden="1"/>
    </xf>
    <xf numFmtId="0" fontId="1" fillId="0" borderId="58" xfId="0" applyFont="1" applyBorder="1" applyAlignment="1" applyProtection="1">
      <alignment horizontal="center" vertical="center"/>
      <protection locked="0" hidden="1"/>
    </xf>
    <xf numFmtId="165" fontId="1" fillId="0" borderId="58" xfId="0" applyNumberFormat="1" applyFont="1" applyBorder="1" applyAlignment="1" applyProtection="1">
      <alignment horizontal="center" vertical="center"/>
      <protection hidden="1"/>
    </xf>
    <xf numFmtId="1" fontId="1" fillId="0" borderId="82" xfId="0" applyNumberFormat="1" applyFont="1" applyBorder="1" applyAlignment="1" applyProtection="1">
      <alignment horizontal="center" vertical="center"/>
      <protection hidden="1"/>
    </xf>
    <xf numFmtId="1" fontId="1" fillId="0" borderId="7" xfId="0" applyNumberFormat="1" applyFont="1" applyBorder="1" applyAlignment="1" applyProtection="1">
      <alignment horizontal="center" vertical="center"/>
      <protection hidden="1"/>
    </xf>
    <xf numFmtId="165" fontId="1" fillId="0" borderId="87" xfId="0" applyNumberFormat="1" applyFont="1" applyBorder="1" applyAlignment="1" applyProtection="1">
      <alignment horizontal="center" vertical="center"/>
      <protection hidden="1"/>
    </xf>
    <xf numFmtId="165" fontId="1" fillId="0" borderId="7" xfId="0" applyNumberFormat="1" applyFont="1" applyBorder="1" applyAlignment="1" applyProtection="1">
      <alignment horizontal="center" vertical="center"/>
      <protection hidden="1"/>
    </xf>
    <xf numFmtId="165" fontId="1" fillId="0" borderId="34" xfId="0" applyNumberFormat="1" applyFont="1" applyBorder="1" applyAlignment="1" applyProtection="1">
      <alignment horizontal="center" vertical="center"/>
      <protection hidden="1"/>
    </xf>
    <xf numFmtId="165" fontId="1" fillId="0" borderId="18" xfId="0" quotePrefix="1" applyNumberFormat="1" applyFont="1" applyBorder="1" applyAlignment="1" applyProtection="1">
      <alignment horizontal="center" vertical="center"/>
      <protection hidden="1"/>
    </xf>
    <xf numFmtId="165" fontId="1" fillId="0" borderId="14" xfId="0" quotePrefix="1" applyNumberFormat="1" applyFont="1" applyBorder="1" applyAlignment="1" applyProtection="1">
      <alignment horizontal="center" vertical="center"/>
      <protection hidden="1"/>
    </xf>
    <xf numFmtId="165" fontId="1" fillId="0" borderId="6" xfId="0" quotePrefix="1" applyNumberFormat="1" applyFont="1" applyBorder="1" applyAlignment="1" applyProtection="1">
      <alignment horizontal="center" vertical="center"/>
      <protection hidden="1"/>
    </xf>
    <xf numFmtId="0" fontId="1" fillId="0" borderId="34" xfId="0" quotePrefix="1" applyFont="1" applyBorder="1" applyAlignment="1" applyProtection="1">
      <alignment horizontal="center"/>
      <protection hidden="1"/>
    </xf>
    <xf numFmtId="0" fontId="1" fillId="0" borderId="35" xfId="0" applyFont="1" applyBorder="1" applyAlignment="1" applyProtection="1">
      <alignment horizontal="center" vertical="center"/>
      <protection hidden="1"/>
    </xf>
    <xf numFmtId="164" fontId="1" fillId="0" borderId="34" xfId="0" applyNumberFormat="1" applyFont="1" applyFill="1" applyBorder="1" applyAlignment="1" applyProtection="1">
      <alignment horizontal="center" vertical="center"/>
      <protection hidden="1"/>
    </xf>
    <xf numFmtId="0" fontId="1" fillId="0" borderId="87" xfId="0" applyFont="1" applyBorder="1" applyAlignment="1" applyProtection="1">
      <alignment horizontal="center" vertical="center"/>
      <protection hidden="1"/>
    </xf>
    <xf numFmtId="0" fontId="1" fillId="0" borderId="58" xfId="0" applyFont="1" applyBorder="1" applyAlignment="1" applyProtection="1">
      <alignment horizontal="center" vertical="center"/>
      <protection hidden="1"/>
    </xf>
    <xf numFmtId="0" fontId="1" fillId="0" borderId="73" xfId="0" applyFont="1" applyBorder="1" applyAlignment="1" applyProtection="1">
      <alignment horizontal="center" vertical="center"/>
      <protection hidden="1"/>
    </xf>
    <xf numFmtId="165" fontId="0" fillId="0" borderId="91" xfId="0" applyNumberFormat="1" applyFill="1" applyBorder="1" applyAlignment="1">
      <alignment horizontal="center"/>
    </xf>
    <xf numFmtId="165" fontId="0" fillId="0" borderId="72" xfId="0" applyNumberFormat="1" applyFill="1" applyBorder="1" applyAlignment="1">
      <alignment horizontal="center"/>
    </xf>
    <xf numFmtId="0" fontId="7" fillId="0" borderId="34" xfId="0" applyFont="1" applyFill="1" applyBorder="1" applyAlignment="1">
      <alignment vertical="center"/>
    </xf>
    <xf numFmtId="0" fontId="4" fillId="0" borderId="71" xfId="0" applyNumberFormat="1" applyFont="1" applyFill="1" applyBorder="1" applyAlignment="1" applyProtection="1">
      <alignment horizontal="center" vertical="center"/>
      <protection hidden="1"/>
    </xf>
    <xf numFmtId="0" fontId="4" fillId="0" borderId="150" xfId="0" applyNumberFormat="1" applyFont="1" applyFill="1" applyBorder="1" applyAlignment="1" applyProtection="1">
      <alignment horizontal="center" vertical="center"/>
      <protection hidden="1"/>
    </xf>
    <xf numFmtId="0" fontId="4" fillId="0" borderId="7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5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0" xfId="0" applyNumberFormat="1" applyFont="1" applyFill="1" applyBorder="1" applyAlignment="1" applyProtection="1">
      <alignment horizontal="center"/>
      <protection locked="0" hidden="1"/>
    </xf>
    <xf numFmtId="1" fontId="4" fillId="0" borderId="30" xfId="0" applyNumberFormat="1" applyFont="1" applyFill="1" applyBorder="1" applyAlignment="1" applyProtection="1">
      <alignment horizontal="center" vertical="center"/>
      <protection hidden="1"/>
    </xf>
    <xf numFmtId="1" fontId="4" fillId="0" borderId="34" xfId="0" applyNumberFormat="1" applyFont="1" applyFill="1" applyBorder="1" applyAlignment="1" applyProtection="1">
      <alignment horizontal="center" vertical="center"/>
      <protection hidden="1"/>
    </xf>
    <xf numFmtId="0" fontId="8" fillId="0" borderId="136" xfId="0" applyNumberFormat="1" applyFont="1" applyFill="1" applyBorder="1" applyAlignment="1" applyProtection="1">
      <alignment horizontal="center"/>
      <protection hidden="1"/>
    </xf>
    <xf numFmtId="0" fontId="8" fillId="0" borderId="71" xfId="0" applyNumberFormat="1" applyFont="1" applyFill="1" applyBorder="1" applyAlignment="1" applyProtection="1">
      <alignment horizontal="center"/>
      <protection hidden="1"/>
    </xf>
    <xf numFmtId="0" fontId="8" fillId="0" borderId="137" xfId="0" applyNumberFormat="1" applyFont="1" applyFill="1" applyBorder="1" applyAlignment="1" applyProtection="1">
      <alignment horizontal="center"/>
      <protection hidden="1"/>
    </xf>
    <xf numFmtId="0" fontId="8" fillId="0" borderId="57" xfId="0" applyNumberFormat="1" applyFont="1" applyFill="1" applyBorder="1" applyAlignment="1" applyProtection="1">
      <alignment horizontal="center"/>
      <protection hidden="1"/>
    </xf>
  </cellXfs>
  <cellStyles count="1995">
    <cellStyle name="20% - Accent1 2" xfId="1"/>
    <cellStyle name="20% - Accent1 2 10" xfId="2"/>
    <cellStyle name="20% - Accent1 2 11" xfId="3"/>
    <cellStyle name="20% - Accent1 2 12" xfId="4"/>
    <cellStyle name="20% - Accent1 2 13" xfId="5"/>
    <cellStyle name="20% - Accent1 2 14" xfId="6"/>
    <cellStyle name="20% - Accent1 2 15" xfId="7"/>
    <cellStyle name="20% - Accent1 2 16" xfId="8"/>
    <cellStyle name="20% - Accent1 2 17" xfId="9"/>
    <cellStyle name="20% - Accent1 2 18" xfId="10"/>
    <cellStyle name="20% - Accent1 2 19" xfId="11"/>
    <cellStyle name="20% - Accent1 2 2" xfId="12"/>
    <cellStyle name="20% - Accent1 2 20" xfId="13"/>
    <cellStyle name="20% - Accent1 2 21" xfId="14"/>
    <cellStyle name="20% - Accent1 2 22" xfId="15"/>
    <cellStyle name="20% - Accent1 2 23" xfId="16"/>
    <cellStyle name="20% - Accent1 2 24" xfId="17"/>
    <cellStyle name="20% - Accent1 2 25" xfId="18"/>
    <cellStyle name="20% - Accent1 2 26" xfId="19"/>
    <cellStyle name="20% - Accent1 2 27" xfId="20"/>
    <cellStyle name="20% - Accent1 2 28" xfId="21"/>
    <cellStyle name="20% - Accent1 2 29" xfId="22"/>
    <cellStyle name="20% - Accent1 2 3" xfId="23"/>
    <cellStyle name="20% - Accent1 2 30" xfId="24"/>
    <cellStyle name="20% - Accent1 2 31" xfId="25"/>
    <cellStyle name="20% - Accent1 2 32" xfId="26"/>
    <cellStyle name="20% - Accent1 2 33" xfId="27"/>
    <cellStyle name="20% - Accent1 2 34" xfId="28"/>
    <cellStyle name="20% - Accent1 2 35" xfId="29"/>
    <cellStyle name="20% - Accent1 2 36" xfId="30"/>
    <cellStyle name="20% - Accent1 2 37" xfId="31"/>
    <cellStyle name="20% - Accent1 2 38" xfId="32"/>
    <cellStyle name="20% - Accent1 2 39" xfId="33"/>
    <cellStyle name="20% - Accent1 2 4" xfId="34"/>
    <cellStyle name="20% - Accent1 2 40" xfId="35"/>
    <cellStyle name="20% - Accent1 2 41" xfId="36"/>
    <cellStyle name="20% - Accent1 2 42" xfId="37"/>
    <cellStyle name="20% - Accent1 2 43" xfId="38"/>
    <cellStyle name="20% - Accent1 2 44" xfId="39"/>
    <cellStyle name="20% - Accent1 2 45" xfId="40"/>
    <cellStyle name="20% - Accent1 2 46" xfId="41"/>
    <cellStyle name="20% - Accent1 2 47" xfId="42"/>
    <cellStyle name="20% - Accent1 2 48" xfId="43"/>
    <cellStyle name="20% - Accent1 2 49" xfId="44"/>
    <cellStyle name="20% - Accent1 2 5" xfId="45"/>
    <cellStyle name="20% - Accent1 2 6" xfId="46"/>
    <cellStyle name="20% - Accent1 2 7" xfId="47"/>
    <cellStyle name="20% - Accent1 2 8" xfId="48"/>
    <cellStyle name="20% - Accent1 2 9" xfId="49"/>
    <cellStyle name="20% - Accent2 2" xfId="50"/>
    <cellStyle name="20% - Accent2 2 10" xfId="51"/>
    <cellStyle name="20% - Accent2 2 11" xfId="52"/>
    <cellStyle name="20% - Accent2 2 12" xfId="53"/>
    <cellStyle name="20% - Accent2 2 13" xfId="54"/>
    <cellStyle name="20% - Accent2 2 14" xfId="55"/>
    <cellStyle name="20% - Accent2 2 15" xfId="56"/>
    <cellStyle name="20% - Accent2 2 16" xfId="57"/>
    <cellStyle name="20% - Accent2 2 17" xfId="58"/>
    <cellStyle name="20% - Accent2 2 18" xfId="59"/>
    <cellStyle name="20% - Accent2 2 19" xfId="60"/>
    <cellStyle name="20% - Accent2 2 2" xfId="61"/>
    <cellStyle name="20% - Accent2 2 20" xfId="62"/>
    <cellStyle name="20% - Accent2 2 21" xfId="63"/>
    <cellStyle name="20% - Accent2 2 22" xfId="64"/>
    <cellStyle name="20% - Accent2 2 23" xfId="65"/>
    <cellStyle name="20% - Accent2 2 24" xfId="66"/>
    <cellStyle name="20% - Accent2 2 25" xfId="67"/>
    <cellStyle name="20% - Accent2 2 26" xfId="68"/>
    <cellStyle name="20% - Accent2 2 27" xfId="69"/>
    <cellStyle name="20% - Accent2 2 28" xfId="70"/>
    <cellStyle name="20% - Accent2 2 29" xfId="71"/>
    <cellStyle name="20% - Accent2 2 3" xfId="72"/>
    <cellStyle name="20% - Accent2 2 30" xfId="73"/>
    <cellStyle name="20% - Accent2 2 31" xfId="74"/>
    <cellStyle name="20% - Accent2 2 32" xfId="75"/>
    <cellStyle name="20% - Accent2 2 33" xfId="76"/>
    <cellStyle name="20% - Accent2 2 34" xfId="77"/>
    <cellStyle name="20% - Accent2 2 35" xfId="78"/>
    <cellStyle name="20% - Accent2 2 36" xfId="79"/>
    <cellStyle name="20% - Accent2 2 37" xfId="80"/>
    <cellStyle name="20% - Accent2 2 38" xfId="81"/>
    <cellStyle name="20% - Accent2 2 39" xfId="82"/>
    <cellStyle name="20% - Accent2 2 4" xfId="83"/>
    <cellStyle name="20% - Accent2 2 40" xfId="84"/>
    <cellStyle name="20% - Accent2 2 41" xfId="85"/>
    <cellStyle name="20% - Accent2 2 42" xfId="86"/>
    <cellStyle name="20% - Accent2 2 43" xfId="87"/>
    <cellStyle name="20% - Accent2 2 44" xfId="88"/>
    <cellStyle name="20% - Accent2 2 45" xfId="89"/>
    <cellStyle name="20% - Accent2 2 46" xfId="90"/>
    <cellStyle name="20% - Accent2 2 47" xfId="91"/>
    <cellStyle name="20% - Accent2 2 48" xfId="92"/>
    <cellStyle name="20% - Accent2 2 49" xfId="93"/>
    <cellStyle name="20% - Accent2 2 5" xfId="94"/>
    <cellStyle name="20% - Accent2 2 6" xfId="95"/>
    <cellStyle name="20% - Accent2 2 7" xfId="96"/>
    <cellStyle name="20% - Accent2 2 8" xfId="97"/>
    <cellStyle name="20% - Accent2 2 9" xfId="98"/>
    <cellStyle name="20% - Accent3 2" xfId="99"/>
    <cellStyle name="20% - Accent3 2 10" xfId="100"/>
    <cellStyle name="20% - Accent3 2 11" xfId="101"/>
    <cellStyle name="20% - Accent3 2 12" xfId="102"/>
    <cellStyle name="20% - Accent3 2 13" xfId="103"/>
    <cellStyle name="20% - Accent3 2 14" xfId="104"/>
    <cellStyle name="20% - Accent3 2 15" xfId="105"/>
    <cellStyle name="20% - Accent3 2 16" xfId="106"/>
    <cellStyle name="20% - Accent3 2 17" xfId="107"/>
    <cellStyle name="20% - Accent3 2 18" xfId="108"/>
    <cellStyle name="20% - Accent3 2 19" xfId="109"/>
    <cellStyle name="20% - Accent3 2 2" xfId="110"/>
    <cellStyle name="20% - Accent3 2 20" xfId="111"/>
    <cellStyle name="20% - Accent3 2 21" xfId="112"/>
    <cellStyle name="20% - Accent3 2 22" xfId="113"/>
    <cellStyle name="20% - Accent3 2 23" xfId="114"/>
    <cellStyle name="20% - Accent3 2 24" xfId="115"/>
    <cellStyle name="20% - Accent3 2 25" xfId="116"/>
    <cellStyle name="20% - Accent3 2 26" xfId="117"/>
    <cellStyle name="20% - Accent3 2 27" xfId="118"/>
    <cellStyle name="20% - Accent3 2 28" xfId="119"/>
    <cellStyle name="20% - Accent3 2 29" xfId="120"/>
    <cellStyle name="20% - Accent3 2 3" xfId="121"/>
    <cellStyle name="20% - Accent3 2 30" xfId="122"/>
    <cellStyle name="20% - Accent3 2 31" xfId="123"/>
    <cellStyle name="20% - Accent3 2 32" xfId="124"/>
    <cellStyle name="20% - Accent3 2 33" xfId="125"/>
    <cellStyle name="20% - Accent3 2 34" xfId="126"/>
    <cellStyle name="20% - Accent3 2 35" xfId="127"/>
    <cellStyle name="20% - Accent3 2 36" xfId="128"/>
    <cellStyle name="20% - Accent3 2 37" xfId="129"/>
    <cellStyle name="20% - Accent3 2 38" xfId="130"/>
    <cellStyle name="20% - Accent3 2 39" xfId="131"/>
    <cellStyle name="20% - Accent3 2 4" xfId="132"/>
    <cellStyle name="20% - Accent3 2 40" xfId="133"/>
    <cellStyle name="20% - Accent3 2 41" xfId="134"/>
    <cellStyle name="20% - Accent3 2 42" xfId="135"/>
    <cellStyle name="20% - Accent3 2 43" xfId="136"/>
    <cellStyle name="20% - Accent3 2 44" xfId="137"/>
    <cellStyle name="20% - Accent3 2 45" xfId="138"/>
    <cellStyle name="20% - Accent3 2 46" xfId="139"/>
    <cellStyle name="20% - Accent3 2 47" xfId="140"/>
    <cellStyle name="20% - Accent3 2 48" xfId="141"/>
    <cellStyle name="20% - Accent3 2 49" xfId="142"/>
    <cellStyle name="20% - Accent3 2 5" xfId="143"/>
    <cellStyle name="20% - Accent3 2 6" xfId="144"/>
    <cellStyle name="20% - Accent3 2 7" xfId="145"/>
    <cellStyle name="20% - Accent3 2 8" xfId="146"/>
    <cellStyle name="20% - Accent3 2 9" xfId="147"/>
    <cellStyle name="20% - Accent4 2" xfId="148"/>
    <cellStyle name="20% - Accent4 2 10" xfId="149"/>
    <cellStyle name="20% - Accent4 2 11" xfId="150"/>
    <cellStyle name="20% - Accent4 2 12" xfId="151"/>
    <cellStyle name="20% - Accent4 2 13" xfId="152"/>
    <cellStyle name="20% - Accent4 2 14" xfId="153"/>
    <cellStyle name="20% - Accent4 2 15" xfId="154"/>
    <cellStyle name="20% - Accent4 2 16" xfId="155"/>
    <cellStyle name="20% - Accent4 2 17" xfId="156"/>
    <cellStyle name="20% - Accent4 2 18" xfId="157"/>
    <cellStyle name="20% - Accent4 2 19" xfId="158"/>
    <cellStyle name="20% - Accent4 2 2" xfId="159"/>
    <cellStyle name="20% - Accent4 2 20" xfId="160"/>
    <cellStyle name="20% - Accent4 2 21" xfId="161"/>
    <cellStyle name="20% - Accent4 2 22" xfId="162"/>
    <cellStyle name="20% - Accent4 2 23" xfId="163"/>
    <cellStyle name="20% - Accent4 2 24" xfId="164"/>
    <cellStyle name="20% - Accent4 2 25" xfId="165"/>
    <cellStyle name="20% - Accent4 2 26" xfId="166"/>
    <cellStyle name="20% - Accent4 2 27" xfId="167"/>
    <cellStyle name="20% - Accent4 2 28" xfId="168"/>
    <cellStyle name="20% - Accent4 2 29" xfId="169"/>
    <cellStyle name="20% - Accent4 2 3" xfId="170"/>
    <cellStyle name="20% - Accent4 2 30" xfId="171"/>
    <cellStyle name="20% - Accent4 2 31" xfId="172"/>
    <cellStyle name="20% - Accent4 2 32" xfId="173"/>
    <cellStyle name="20% - Accent4 2 33" xfId="174"/>
    <cellStyle name="20% - Accent4 2 34" xfId="175"/>
    <cellStyle name="20% - Accent4 2 35" xfId="176"/>
    <cellStyle name="20% - Accent4 2 36" xfId="177"/>
    <cellStyle name="20% - Accent4 2 37" xfId="178"/>
    <cellStyle name="20% - Accent4 2 38" xfId="179"/>
    <cellStyle name="20% - Accent4 2 39" xfId="180"/>
    <cellStyle name="20% - Accent4 2 4" xfId="181"/>
    <cellStyle name="20% - Accent4 2 40" xfId="182"/>
    <cellStyle name="20% - Accent4 2 41" xfId="183"/>
    <cellStyle name="20% - Accent4 2 42" xfId="184"/>
    <cellStyle name="20% - Accent4 2 43" xfId="185"/>
    <cellStyle name="20% - Accent4 2 44" xfId="186"/>
    <cellStyle name="20% - Accent4 2 45" xfId="187"/>
    <cellStyle name="20% - Accent4 2 46" xfId="188"/>
    <cellStyle name="20% - Accent4 2 47" xfId="189"/>
    <cellStyle name="20% - Accent4 2 48" xfId="190"/>
    <cellStyle name="20% - Accent4 2 49" xfId="191"/>
    <cellStyle name="20% - Accent4 2 5" xfId="192"/>
    <cellStyle name="20% - Accent4 2 6" xfId="193"/>
    <cellStyle name="20% - Accent4 2 7" xfId="194"/>
    <cellStyle name="20% - Accent4 2 8" xfId="195"/>
    <cellStyle name="20% - Accent4 2 9" xfId="196"/>
    <cellStyle name="20% - Accent5" xfId="197" builtinId="46" customBuiltin="1"/>
    <cellStyle name="20% - Accent6 2" xfId="198"/>
    <cellStyle name="20% - Accent6 2 10" xfId="199"/>
    <cellStyle name="20% - Accent6 2 11" xfId="200"/>
    <cellStyle name="20% - Accent6 2 12" xfId="201"/>
    <cellStyle name="20% - Accent6 2 13" xfId="202"/>
    <cellStyle name="20% - Accent6 2 14" xfId="203"/>
    <cellStyle name="20% - Accent6 2 15" xfId="204"/>
    <cellStyle name="20% - Accent6 2 16" xfId="205"/>
    <cellStyle name="20% - Accent6 2 17" xfId="206"/>
    <cellStyle name="20% - Accent6 2 18" xfId="207"/>
    <cellStyle name="20% - Accent6 2 19" xfId="208"/>
    <cellStyle name="20% - Accent6 2 2" xfId="209"/>
    <cellStyle name="20% - Accent6 2 20" xfId="210"/>
    <cellStyle name="20% - Accent6 2 21" xfId="211"/>
    <cellStyle name="20% - Accent6 2 22" xfId="212"/>
    <cellStyle name="20% - Accent6 2 23" xfId="213"/>
    <cellStyle name="20% - Accent6 2 24" xfId="214"/>
    <cellStyle name="20% - Accent6 2 25" xfId="215"/>
    <cellStyle name="20% - Accent6 2 26" xfId="216"/>
    <cellStyle name="20% - Accent6 2 27" xfId="217"/>
    <cellStyle name="20% - Accent6 2 28" xfId="218"/>
    <cellStyle name="20% - Accent6 2 29" xfId="219"/>
    <cellStyle name="20% - Accent6 2 3" xfId="220"/>
    <cellStyle name="20% - Accent6 2 30" xfId="221"/>
    <cellStyle name="20% - Accent6 2 31" xfId="222"/>
    <cellStyle name="20% - Accent6 2 32" xfId="223"/>
    <cellStyle name="20% - Accent6 2 33" xfId="224"/>
    <cellStyle name="20% - Accent6 2 34" xfId="225"/>
    <cellStyle name="20% - Accent6 2 35" xfId="226"/>
    <cellStyle name="20% - Accent6 2 36" xfId="227"/>
    <cellStyle name="20% - Accent6 2 37" xfId="228"/>
    <cellStyle name="20% - Accent6 2 38" xfId="229"/>
    <cellStyle name="20% - Accent6 2 39" xfId="230"/>
    <cellStyle name="20% - Accent6 2 4" xfId="231"/>
    <cellStyle name="20% - Accent6 2 40" xfId="232"/>
    <cellStyle name="20% - Accent6 2 41" xfId="233"/>
    <cellStyle name="20% - Accent6 2 42" xfId="234"/>
    <cellStyle name="20% - Accent6 2 43" xfId="235"/>
    <cellStyle name="20% - Accent6 2 44" xfId="236"/>
    <cellStyle name="20% - Accent6 2 45" xfId="237"/>
    <cellStyle name="20% - Accent6 2 46" xfId="238"/>
    <cellStyle name="20% - Accent6 2 47" xfId="239"/>
    <cellStyle name="20% - Accent6 2 48" xfId="240"/>
    <cellStyle name="20% - Accent6 2 49" xfId="241"/>
    <cellStyle name="20% - Accent6 2 5" xfId="242"/>
    <cellStyle name="20% - Accent6 2 6" xfId="243"/>
    <cellStyle name="20% - Accent6 2 7" xfId="244"/>
    <cellStyle name="20% - Accent6 2 8" xfId="245"/>
    <cellStyle name="20% - Accent6 2 9" xfId="246"/>
    <cellStyle name="40% - Accent1 2" xfId="247"/>
    <cellStyle name="40% - Accent1 2 10" xfId="248"/>
    <cellStyle name="40% - Accent1 2 11" xfId="249"/>
    <cellStyle name="40% - Accent1 2 12" xfId="250"/>
    <cellStyle name="40% - Accent1 2 13" xfId="251"/>
    <cellStyle name="40% - Accent1 2 14" xfId="252"/>
    <cellStyle name="40% - Accent1 2 15" xfId="253"/>
    <cellStyle name="40% - Accent1 2 16" xfId="254"/>
    <cellStyle name="40% - Accent1 2 17" xfId="255"/>
    <cellStyle name="40% - Accent1 2 18" xfId="256"/>
    <cellStyle name="40% - Accent1 2 19" xfId="257"/>
    <cellStyle name="40% - Accent1 2 2" xfId="258"/>
    <cellStyle name="40% - Accent1 2 20" xfId="259"/>
    <cellStyle name="40% - Accent1 2 21" xfId="260"/>
    <cellStyle name="40% - Accent1 2 22" xfId="261"/>
    <cellStyle name="40% - Accent1 2 23" xfId="262"/>
    <cellStyle name="40% - Accent1 2 24" xfId="263"/>
    <cellStyle name="40% - Accent1 2 25" xfId="264"/>
    <cellStyle name="40% - Accent1 2 26" xfId="265"/>
    <cellStyle name="40% - Accent1 2 27" xfId="266"/>
    <cellStyle name="40% - Accent1 2 28" xfId="267"/>
    <cellStyle name="40% - Accent1 2 29" xfId="268"/>
    <cellStyle name="40% - Accent1 2 3" xfId="269"/>
    <cellStyle name="40% - Accent1 2 30" xfId="270"/>
    <cellStyle name="40% - Accent1 2 31" xfId="271"/>
    <cellStyle name="40% - Accent1 2 32" xfId="272"/>
    <cellStyle name="40% - Accent1 2 33" xfId="273"/>
    <cellStyle name="40% - Accent1 2 34" xfId="274"/>
    <cellStyle name="40% - Accent1 2 35" xfId="275"/>
    <cellStyle name="40% - Accent1 2 36" xfId="276"/>
    <cellStyle name="40% - Accent1 2 37" xfId="277"/>
    <cellStyle name="40% - Accent1 2 38" xfId="278"/>
    <cellStyle name="40% - Accent1 2 39" xfId="279"/>
    <cellStyle name="40% - Accent1 2 4" xfId="280"/>
    <cellStyle name="40% - Accent1 2 40" xfId="281"/>
    <cellStyle name="40% - Accent1 2 41" xfId="282"/>
    <cellStyle name="40% - Accent1 2 42" xfId="283"/>
    <cellStyle name="40% - Accent1 2 43" xfId="284"/>
    <cellStyle name="40% - Accent1 2 44" xfId="285"/>
    <cellStyle name="40% - Accent1 2 45" xfId="286"/>
    <cellStyle name="40% - Accent1 2 46" xfId="287"/>
    <cellStyle name="40% - Accent1 2 47" xfId="288"/>
    <cellStyle name="40% - Accent1 2 48" xfId="289"/>
    <cellStyle name="40% - Accent1 2 49" xfId="290"/>
    <cellStyle name="40% - Accent1 2 5" xfId="291"/>
    <cellStyle name="40% - Accent1 2 6" xfId="292"/>
    <cellStyle name="40% - Accent1 2 7" xfId="293"/>
    <cellStyle name="40% - Accent1 2 8" xfId="294"/>
    <cellStyle name="40% - Accent1 2 9" xfId="295"/>
    <cellStyle name="40% - Accent2" xfId="296" builtinId="35" customBuiltin="1"/>
    <cellStyle name="40% - Accent3 2" xfId="297"/>
    <cellStyle name="40% - Accent3 2 10" xfId="298"/>
    <cellStyle name="40% - Accent3 2 11" xfId="299"/>
    <cellStyle name="40% - Accent3 2 12" xfId="300"/>
    <cellStyle name="40% - Accent3 2 13" xfId="301"/>
    <cellStyle name="40% - Accent3 2 14" xfId="302"/>
    <cellStyle name="40% - Accent3 2 15" xfId="303"/>
    <cellStyle name="40% - Accent3 2 16" xfId="304"/>
    <cellStyle name="40% - Accent3 2 17" xfId="305"/>
    <cellStyle name="40% - Accent3 2 18" xfId="306"/>
    <cellStyle name="40% - Accent3 2 19" xfId="307"/>
    <cellStyle name="40% - Accent3 2 2" xfId="308"/>
    <cellStyle name="40% - Accent3 2 20" xfId="309"/>
    <cellStyle name="40% - Accent3 2 21" xfId="310"/>
    <cellStyle name="40% - Accent3 2 22" xfId="311"/>
    <cellStyle name="40% - Accent3 2 23" xfId="312"/>
    <cellStyle name="40% - Accent3 2 24" xfId="313"/>
    <cellStyle name="40% - Accent3 2 25" xfId="314"/>
    <cellStyle name="40% - Accent3 2 26" xfId="315"/>
    <cellStyle name="40% - Accent3 2 27" xfId="316"/>
    <cellStyle name="40% - Accent3 2 28" xfId="317"/>
    <cellStyle name="40% - Accent3 2 29" xfId="318"/>
    <cellStyle name="40% - Accent3 2 3" xfId="319"/>
    <cellStyle name="40% - Accent3 2 30" xfId="320"/>
    <cellStyle name="40% - Accent3 2 31" xfId="321"/>
    <cellStyle name="40% - Accent3 2 32" xfId="322"/>
    <cellStyle name="40% - Accent3 2 33" xfId="323"/>
    <cellStyle name="40% - Accent3 2 34" xfId="324"/>
    <cellStyle name="40% - Accent3 2 35" xfId="325"/>
    <cellStyle name="40% - Accent3 2 36" xfId="326"/>
    <cellStyle name="40% - Accent3 2 37" xfId="327"/>
    <cellStyle name="40% - Accent3 2 38" xfId="328"/>
    <cellStyle name="40% - Accent3 2 39" xfId="329"/>
    <cellStyle name="40% - Accent3 2 4" xfId="330"/>
    <cellStyle name="40% - Accent3 2 40" xfId="331"/>
    <cellStyle name="40% - Accent3 2 41" xfId="332"/>
    <cellStyle name="40% - Accent3 2 42" xfId="333"/>
    <cellStyle name="40% - Accent3 2 43" xfId="334"/>
    <cellStyle name="40% - Accent3 2 44" xfId="335"/>
    <cellStyle name="40% - Accent3 2 45" xfId="336"/>
    <cellStyle name="40% - Accent3 2 46" xfId="337"/>
    <cellStyle name="40% - Accent3 2 47" xfId="338"/>
    <cellStyle name="40% - Accent3 2 48" xfId="339"/>
    <cellStyle name="40% - Accent3 2 49" xfId="340"/>
    <cellStyle name="40% - Accent3 2 5" xfId="341"/>
    <cellStyle name="40% - Accent3 2 6" xfId="342"/>
    <cellStyle name="40% - Accent3 2 7" xfId="343"/>
    <cellStyle name="40% - Accent3 2 8" xfId="344"/>
    <cellStyle name="40% - Accent3 2 9" xfId="345"/>
    <cellStyle name="40% - Accent4 2" xfId="346"/>
    <cellStyle name="40% - Accent4 2 10" xfId="347"/>
    <cellStyle name="40% - Accent4 2 11" xfId="348"/>
    <cellStyle name="40% - Accent4 2 12" xfId="349"/>
    <cellStyle name="40% - Accent4 2 13" xfId="350"/>
    <cellStyle name="40% - Accent4 2 14" xfId="351"/>
    <cellStyle name="40% - Accent4 2 15" xfId="352"/>
    <cellStyle name="40% - Accent4 2 16" xfId="353"/>
    <cellStyle name="40% - Accent4 2 17" xfId="354"/>
    <cellStyle name="40% - Accent4 2 18" xfId="355"/>
    <cellStyle name="40% - Accent4 2 19" xfId="356"/>
    <cellStyle name="40% - Accent4 2 2" xfId="357"/>
    <cellStyle name="40% - Accent4 2 20" xfId="358"/>
    <cellStyle name="40% - Accent4 2 21" xfId="359"/>
    <cellStyle name="40% - Accent4 2 22" xfId="360"/>
    <cellStyle name="40% - Accent4 2 23" xfId="361"/>
    <cellStyle name="40% - Accent4 2 24" xfId="362"/>
    <cellStyle name="40% - Accent4 2 25" xfId="363"/>
    <cellStyle name="40% - Accent4 2 26" xfId="364"/>
    <cellStyle name="40% - Accent4 2 27" xfId="365"/>
    <cellStyle name="40% - Accent4 2 28" xfId="366"/>
    <cellStyle name="40% - Accent4 2 29" xfId="367"/>
    <cellStyle name="40% - Accent4 2 3" xfId="368"/>
    <cellStyle name="40% - Accent4 2 30" xfId="369"/>
    <cellStyle name="40% - Accent4 2 31" xfId="370"/>
    <cellStyle name="40% - Accent4 2 32" xfId="371"/>
    <cellStyle name="40% - Accent4 2 33" xfId="372"/>
    <cellStyle name="40% - Accent4 2 34" xfId="373"/>
    <cellStyle name="40% - Accent4 2 35" xfId="374"/>
    <cellStyle name="40% - Accent4 2 36" xfId="375"/>
    <cellStyle name="40% - Accent4 2 37" xfId="376"/>
    <cellStyle name="40% - Accent4 2 38" xfId="377"/>
    <cellStyle name="40% - Accent4 2 39" xfId="378"/>
    <cellStyle name="40% - Accent4 2 4" xfId="379"/>
    <cellStyle name="40% - Accent4 2 40" xfId="380"/>
    <cellStyle name="40% - Accent4 2 41" xfId="381"/>
    <cellStyle name="40% - Accent4 2 42" xfId="382"/>
    <cellStyle name="40% - Accent4 2 43" xfId="383"/>
    <cellStyle name="40% - Accent4 2 44" xfId="384"/>
    <cellStyle name="40% - Accent4 2 45" xfId="385"/>
    <cellStyle name="40% - Accent4 2 46" xfId="386"/>
    <cellStyle name="40% - Accent4 2 47" xfId="387"/>
    <cellStyle name="40% - Accent4 2 48" xfId="388"/>
    <cellStyle name="40% - Accent4 2 49" xfId="389"/>
    <cellStyle name="40% - Accent4 2 5" xfId="390"/>
    <cellStyle name="40% - Accent4 2 6" xfId="391"/>
    <cellStyle name="40% - Accent4 2 7" xfId="392"/>
    <cellStyle name="40% - Accent4 2 8" xfId="393"/>
    <cellStyle name="40% - Accent4 2 9" xfId="394"/>
    <cellStyle name="40% - Accent5 2" xfId="395"/>
    <cellStyle name="40% - Accent5 2 10" xfId="396"/>
    <cellStyle name="40% - Accent5 2 11" xfId="397"/>
    <cellStyle name="40% - Accent5 2 12" xfId="398"/>
    <cellStyle name="40% - Accent5 2 13" xfId="399"/>
    <cellStyle name="40% - Accent5 2 14" xfId="400"/>
    <cellStyle name="40% - Accent5 2 15" xfId="401"/>
    <cellStyle name="40% - Accent5 2 16" xfId="402"/>
    <cellStyle name="40% - Accent5 2 17" xfId="403"/>
    <cellStyle name="40% - Accent5 2 18" xfId="404"/>
    <cellStyle name="40% - Accent5 2 19" xfId="405"/>
    <cellStyle name="40% - Accent5 2 2" xfId="406"/>
    <cellStyle name="40% - Accent5 2 20" xfId="407"/>
    <cellStyle name="40% - Accent5 2 21" xfId="408"/>
    <cellStyle name="40% - Accent5 2 22" xfId="409"/>
    <cellStyle name="40% - Accent5 2 23" xfId="410"/>
    <cellStyle name="40% - Accent5 2 24" xfId="411"/>
    <cellStyle name="40% - Accent5 2 25" xfId="412"/>
    <cellStyle name="40% - Accent5 2 26" xfId="413"/>
    <cellStyle name="40% - Accent5 2 27" xfId="414"/>
    <cellStyle name="40% - Accent5 2 28" xfId="415"/>
    <cellStyle name="40% - Accent5 2 29" xfId="416"/>
    <cellStyle name="40% - Accent5 2 3" xfId="417"/>
    <cellStyle name="40% - Accent5 2 30" xfId="418"/>
    <cellStyle name="40% - Accent5 2 31" xfId="419"/>
    <cellStyle name="40% - Accent5 2 32" xfId="420"/>
    <cellStyle name="40% - Accent5 2 33" xfId="421"/>
    <cellStyle name="40% - Accent5 2 34" xfId="422"/>
    <cellStyle name="40% - Accent5 2 35" xfId="423"/>
    <cellStyle name="40% - Accent5 2 36" xfId="424"/>
    <cellStyle name="40% - Accent5 2 37" xfId="425"/>
    <cellStyle name="40% - Accent5 2 38" xfId="426"/>
    <cellStyle name="40% - Accent5 2 39" xfId="427"/>
    <cellStyle name="40% - Accent5 2 4" xfId="428"/>
    <cellStyle name="40% - Accent5 2 40" xfId="429"/>
    <cellStyle name="40% - Accent5 2 41" xfId="430"/>
    <cellStyle name="40% - Accent5 2 42" xfId="431"/>
    <cellStyle name="40% - Accent5 2 43" xfId="432"/>
    <cellStyle name="40% - Accent5 2 44" xfId="433"/>
    <cellStyle name="40% - Accent5 2 45" xfId="434"/>
    <cellStyle name="40% - Accent5 2 46" xfId="435"/>
    <cellStyle name="40% - Accent5 2 47" xfId="436"/>
    <cellStyle name="40% - Accent5 2 48" xfId="437"/>
    <cellStyle name="40% - Accent5 2 49" xfId="438"/>
    <cellStyle name="40% - Accent5 2 5" xfId="439"/>
    <cellStyle name="40% - Accent5 2 6" xfId="440"/>
    <cellStyle name="40% - Accent5 2 7" xfId="441"/>
    <cellStyle name="40% - Accent5 2 8" xfId="442"/>
    <cellStyle name="40% - Accent5 2 9" xfId="443"/>
    <cellStyle name="40% - Accent6 2" xfId="444"/>
    <cellStyle name="40% - Accent6 2 10" xfId="445"/>
    <cellStyle name="40% - Accent6 2 11" xfId="446"/>
    <cellStyle name="40% - Accent6 2 12" xfId="447"/>
    <cellStyle name="40% - Accent6 2 13" xfId="448"/>
    <cellStyle name="40% - Accent6 2 14" xfId="449"/>
    <cellStyle name="40% - Accent6 2 15" xfId="450"/>
    <cellStyle name="40% - Accent6 2 16" xfId="451"/>
    <cellStyle name="40% - Accent6 2 17" xfId="452"/>
    <cellStyle name="40% - Accent6 2 18" xfId="453"/>
    <cellStyle name="40% - Accent6 2 19" xfId="454"/>
    <cellStyle name="40% - Accent6 2 2" xfId="455"/>
    <cellStyle name="40% - Accent6 2 20" xfId="456"/>
    <cellStyle name="40% - Accent6 2 21" xfId="457"/>
    <cellStyle name="40% - Accent6 2 22" xfId="458"/>
    <cellStyle name="40% - Accent6 2 23" xfId="459"/>
    <cellStyle name="40% - Accent6 2 24" xfId="460"/>
    <cellStyle name="40% - Accent6 2 25" xfId="461"/>
    <cellStyle name="40% - Accent6 2 26" xfId="462"/>
    <cellStyle name="40% - Accent6 2 27" xfId="463"/>
    <cellStyle name="40% - Accent6 2 28" xfId="464"/>
    <cellStyle name="40% - Accent6 2 29" xfId="465"/>
    <cellStyle name="40% - Accent6 2 3" xfId="466"/>
    <cellStyle name="40% - Accent6 2 30" xfId="467"/>
    <cellStyle name="40% - Accent6 2 31" xfId="468"/>
    <cellStyle name="40% - Accent6 2 32" xfId="469"/>
    <cellStyle name="40% - Accent6 2 33" xfId="470"/>
    <cellStyle name="40% - Accent6 2 34" xfId="471"/>
    <cellStyle name="40% - Accent6 2 35" xfId="472"/>
    <cellStyle name="40% - Accent6 2 36" xfId="473"/>
    <cellStyle name="40% - Accent6 2 37" xfId="474"/>
    <cellStyle name="40% - Accent6 2 38" xfId="475"/>
    <cellStyle name="40% - Accent6 2 39" xfId="476"/>
    <cellStyle name="40% - Accent6 2 4" xfId="477"/>
    <cellStyle name="40% - Accent6 2 40" xfId="478"/>
    <cellStyle name="40% - Accent6 2 41" xfId="479"/>
    <cellStyle name="40% - Accent6 2 42" xfId="480"/>
    <cellStyle name="40% - Accent6 2 43" xfId="481"/>
    <cellStyle name="40% - Accent6 2 44" xfId="482"/>
    <cellStyle name="40% - Accent6 2 45" xfId="483"/>
    <cellStyle name="40% - Accent6 2 46" xfId="484"/>
    <cellStyle name="40% - Accent6 2 47" xfId="485"/>
    <cellStyle name="40% - Accent6 2 48" xfId="486"/>
    <cellStyle name="40% - Accent6 2 49" xfId="487"/>
    <cellStyle name="40% - Accent6 2 5" xfId="488"/>
    <cellStyle name="40% - Accent6 2 6" xfId="489"/>
    <cellStyle name="40% - Accent6 2 7" xfId="490"/>
    <cellStyle name="40% - Accent6 2 8" xfId="491"/>
    <cellStyle name="40% - Accent6 2 9" xfId="492"/>
    <cellStyle name="60% - Accent1 2" xfId="493"/>
    <cellStyle name="60% - Accent1 2 10" xfId="494"/>
    <cellStyle name="60% - Accent1 2 11" xfId="495"/>
    <cellStyle name="60% - Accent1 2 12" xfId="496"/>
    <cellStyle name="60% - Accent1 2 13" xfId="497"/>
    <cellStyle name="60% - Accent1 2 14" xfId="498"/>
    <cellStyle name="60% - Accent1 2 15" xfId="499"/>
    <cellStyle name="60% - Accent1 2 16" xfId="500"/>
    <cellStyle name="60% - Accent1 2 17" xfId="501"/>
    <cellStyle name="60% - Accent1 2 18" xfId="502"/>
    <cellStyle name="60% - Accent1 2 19" xfId="503"/>
    <cellStyle name="60% - Accent1 2 2" xfId="504"/>
    <cellStyle name="60% - Accent1 2 20" xfId="505"/>
    <cellStyle name="60% - Accent1 2 21" xfId="506"/>
    <cellStyle name="60% - Accent1 2 22" xfId="507"/>
    <cellStyle name="60% - Accent1 2 23" xfId="508"/>
    <cellStyle name="60% - Accent1 2 24" xfId="509"/>
    <cellStyle name="60% - Accent1 2 25" xfId="510"/>
    <cellStyle name="60% - Accent1 2 26" xfId="511"/>
    <cellStyle name="60% - Accent1 2 27" xfId="512"/>
    <cellStyle name="60% - Accent1 2 28" xfId="513"/>
    <cellStyle name="60% - Accent1 2 29" xfId="514"/>
    <cellStyle name="60% - Accent1 2 3" xfId="515"/>
    <cellStyle name="60% - Accent1 2 30" xfId="516"/>
    <cellStyle name="60% - Accent1 2 31" xfId="517"/>
    <cellStyle name="60% - Accent1 2 32" xfId="518"/>
    <cellStyle name="60% - Accent1 2 33" xfId="519"/>
    <cellStyle name="60% - Accent1 2 34" xfId="520"/>
    <cellStyle name="60% - Accent1 2 35" xfId="521"/>
    <cellStyle name="60% - Accent1 2 36" xfId="522"/>
    <cellStyle name="60% - Accent1 2 37" xfId="523"/>
    <cellStyle name="60% - Accent1 2 38" xfId="524"/>
    <cellStyle name="60% - Accent1 2 39" xfId="525"/>
    <cellStyle name="60% - Accent1 2 4" xfId="526"/>
    <cellStyle name="60% - Accent1 2 40" xfId="527"/>
    <cellStyle name="60% - Accent1 2 41" xfId="528"/>
    <cellStyle name="60% - Accent1 2 42" xfId="529"/>
    <cellStyle name="60% - Accent1 2 43" xfId="530"/>
    <cellStyle name="60% - Accent1 2 44" xfId="531"/>
    <cellStyle name="60% - Accent1 2 45" xfId="532"/>
    <cellStyle name="60% - Accent1 2 46" xfId="533"/>
    <cellStyle name="60% - Accent1 2 47" xfId="534"/>
    <cellStyle name="60% - Accent1 2 48" xfId="535"/>
    <cellStyle name="60% - Accent1 2 49" xfId="536"/>
    <cellStyle name="60% - Accent1 2 5" xfId="537"/>
    <cellStyle name="60% - Accent1 2 6" xfId="538"/>
    <cellStyle name="60% - Accent1 2 7" xfId="539"/>
    <cellStyle name="60% - Accent1 2 8" xfId="540"/>
    <cellStyle name="60% - Accent1 2 9" xfId="541"/>
    <cellStyle name="60% - Accent2 2" xfId="542"/>
    <cellStyle name="60% - Accent2 2 10" xfId="543"/>
    <cellStyle name="60% - Accent2 2 11" xfId="544"/>
    <cellStyle name="60% - Accent2 2 12" xfId="545"/>
    <cellStyle name="60% - Accent2 2 13" xfId="546"/>
    <cellStyle name="60% - Accent2 2 14" xfId="547"/>
    <cellStyle name="60% - Accent2 2 15" xfId="548"/>
    <cellStyle name="60% - Accent2 2 16" xfId="549"/>
    <cellStyle name="60% - Accent2 2 17" xfId="550"/>
    <cellStyle name="60% - Accent2 2 18" xfId="551"/>
    <cellStyle name="60% - Accent2 2 19" xfId="552"/>
    <cellStyle name="60% - Accent2 2 2" xfId="553"/>
    <cellStyle name="60% - Accent2 2 20" xfId="554"/>
    <cellStyle name="60% - Accent2 2 21" xfId="555"/>
    <cellStyle name="60% - Accent2 2 22" xfId="556"/>
    <cellStyle name="60% - Accent2 2 23" xfId="557"/>
    <cellStyle name="60% - Accent2 2 24" xfId="558"/>
    <cellStyle name="60% - Accent2 2 25" xfId="559"/>
    <cellStyle name="60% - Accent2 2 26" xfId="560"/>
    <cellStyle name="60% - Accent2 2 27" xfId="561"/>
    <cellStyle name="60% - Accent2 2 28" xfId="562"/>
    <cellStyle name="60% - Accent2 2 29" xfId="563"/>
    <cellStyle name="60% - Accent2 2 3" xfId="564"/>
    <cellStyle name="60% - Accent2 2 30" xfId="565"/>
    <cellStyle name="60% - Accent2 2 31" xfId="566"/>
    <cellStyle name="60% - Accent2 2 32" xfId="567"/>
    <cellStyle name="60% - Accent2 2 33" xfId="568"/>
    <cellStyle name="60% - Accent2 2 34" xfId="569"/>
    <cellStyle name="60% - Accent2 2 35" xfId="570"/>
    <cellStyle name="60% - Accent2 2 36" xfId="571"/>
    <cellStyle name="60% - Accent2 2 37" xfId="572"/>
    <cellStyle name="60% - Accent2 2 38" xfId="573"/>
    <cellStyle name="60% - Accent2 2 39" xfId="574"/>
    <cellStyle name="60% - Accent2 2 4" xfId="575"/>
    <cellStyle name="60% - Accent2 2 40" xfId="576"/>
    <cellStyle name="60% - Accent2 2 41" xfId="577"/>
    <cellStyle name="60% - Accent2 2 42" xfId="578"/>
    <cellStyle name="60% - Accent2 2 43" xfId="579"/>
    <cellStyle name="60% - Accent2 2 44" xfId="580"/>
    <cellStyle name="60% - Accent2 2 45" xfId="581"/>
    <cellStyle name="60% - Accent2 2 46" xfId="582"/>
    <cellStyle name="60% - Accent2 2 47" xfId="583"/>
    <cellStyle name="60% - Accent2 2 48" xfId="584"/>
    <cellStyle name="60% - Accent2 2 49" xfId="585"/>
    <cellStyle name="60% - Accent2 2 5" xfId="586"/>
    <cellStyle name="60% - Accent2 2 6" xfId="587"/>
    <cellStyle name="60% - Accent2 2 7" xfId="588"/>
    <cellStyle name="60% - Accent2 2 8" xfId="589"/>
    <cellStyle name="60% - Accent2 2 9" xfId="590"/>
    <cellStyle name="60% - Accent3 2" xfId="591"/>
    <cellStyle name="60% - Accent3 2 10" xfId="592"/>
    <cellStyle name="60% - Accent3 2 11" xfId="593"/>
    <cellStyle name="60% - Accent3 2 12" xfId="594"/>
    <cellStyle name="60% - Accent3 2 13" xfId="595"/>
    <cellStyle name="60% - Accent3 2 14" xfId="596"/>
    <cellStyle name="60% - Accent3 2 15" xfId="597"/>
    <cellStyle name="60% - Accent3 2 16" xfId="598"/>
    <cellStyle name="60% - Accent3 2 17" xfId="599"/>
    <cellStyle name="60% - Accent3 2 18" xfId="600"/>
    <cellStyle name="60% - Accent3 2 19" xfId="601"/>
    <cellStyle name="60% - Accent3 2 2" xfId="602"/>
    <cellStyle name="60% - Accent3 2 20" xfId="603"/>
    <cellStyle name="60% - Accent3 2 21" xfId="604"/>
    <cellStyle name="60% - Accent3 2 22" xfId="605"/>
    <cellStyle name="60% - Accent3 2 23" xfId="606"/>
    <cellStyle name="60% - Accent3 2 24" xfId="607"/>
    <cellStyle name="60% - Accent3 2 25" xfId="608"/>
    <cellStyle name="60% - Accent3 2 26" xfId="609"/>
    <cellStyle name="60% - Accent3 2 27" xfId="610"/>
    <cellStyle name="60% - Accent3 2 28" xfId="611"/>
    <cellStyle name="60% - Accent3 2 29" xfId="612"/>
    <cellStyle name="60% - Accent3 2 3" xfId="613"/>
    <cellStyle name="60% - Accent3 2 30" xfId="614"/>
    <cellStyle name="60% - Accent3 2 31" xfId="615"/>
    <cellStyle name="60% - Accent3 2 32" xfId="616"/>
    <cellStyle name="60% - Accent3 2 33" xfId="617"/>
    <cellStyle name="60% - Accent3 2 34" xfId="618"/>
    <cellStyle name="60% - Accent3 2 35" xfId="619"/>
    <cellStyle name="60% - Accent3 2 36" xfId="620"/>
    <cellStyle name="60% - Accent3 2 37" xfId="621"/>
    <cellStyle name="60% - Accent3 2 38" xfId="622"/>
    <cellStyle name="60% - Accent3 2 39" xfId="623"/>
    <cellStyle name="60% - Accent3 2 4" xfId="624"/>
    <cellStyle name="60% - Accent3 2 40" xfId="625"/>
    <cellStyle name="60% - Accent3 2 41" xfId="626"/>
    <cellStyle name="60% - Accent3 2 42" xfId="627"/>
    <cellStyle name="60% - Accent3 2 43" xfId="628"/>
    <cellStyle name="60% - Accent3 2 44" xfId="629"/>
    <cellStyle name="60% - Accent3 2 45" xfId="630"/>
    <cellStyle name="60% - Accent3 2 46" xfId="631"/>
    <cellStyle name="60% - Accent3 2 47" xfId="632"/>
    <cellStyle name="60% - Accent3 2 48" xfId="633"/>
    <cellStyle name="60% - Accent3 2 49" xfId="634"/>
    <cellStyle name="60% - Accent3 2 5" xfId="635"/>
    <cellStyle name="60% - Accent3 2 6" xfId="636"/>
    <cellStyle name="60% - Accent3 2 7" xfId="637"/>
    <cellStyle name="60% - Accent3 2 8" xfId="638"/>
    <cellStyle name="60% - Accent3 2 9" xfId="639"/>
    <cellStyle name="60% - Accent4 2" xfId="640"/>
    <cellStyle name="60% - Accent4 2 10" xfId="641"/>
    <cellStyle name="60% - Accent4 2 11" xfId="642"/>
    <cellStyle name="60% - Accent4 2 12" xfId="643"/>
    <cellStyle name="60% - Accent4 2 13" xfId="644"/>
    <cellStyle name="60% - Accent4 2 14" xfId="645"/>
    <cellStyle name="60% - Accent4 2 15" xfId="646"/>
    <cellStyle name="60% - Accent4 2 16" xfId="647"/>
    <cellStyle name="60% - Accent4 2 17" xfId="648"/>
    <cellStyle name="60% - Accent4 2 18" xfId="649"/>
    <cellStyle name="60% - Accent4 2 19" xfId="650"/>
    <cellStyle name="60% - Accent4 2 2" xfId="651"/>
    <cellStyle name="60% - Accent4 2 20" xfId="652"/>
    <cellStyle name="60% - Accent4 2 21" xfId="653"/>
    <cellStyle name="60% - Accent4 2 22" xfId="654"/>
    <cellStyle name="60% - Accent4 2 23" xfId="655"/>
    <cellStyle name="60% - Accent4 2 24" xfId="656"/>
    <cellStyle name="60% - Accent4 2 25" xfId="657"/>
    <cellStyle name="60% - Accent4 2 26" xfId="658"/>
    <cellStyle name="60% - Accent4 2 27" xfId="659"/>
    <cellStyle name="60% - Accent4 2 28" xfId="660"/>
    <cellStyle name="60% - Accent4 2 29" xfId="661"/>
    <cellStyle name="60% - Accent4 2 3" xfId="662"/>
    <cellStyle name="60% - Accent4 2 30" xfId="663"/>
    <cellStyle name="60% - Accent4 2 31" xfId="664"/>
    <cellStyle name="60% - Accent4 2 32" xfId="665"/>
    <cellStyle name="60% - Accent4 2 33" xfId="666"/>
    <cellStyle name="60% - Accent4 2 34" xfId="667"/>
    <cellStyle name="60% - Accent4 2 35" xfId="668"/>
    <cellStyle name="60% - Accent4 2 36" xfId="669"/>
    <cellStyle name="60% - Accent4 2 37" xfId="670"/>
    <cellStyle name="60% - Accent4 2 38" xfId="671"/>
    <cellStyle name="60% - Accent4 2 39" xfId="672"/>
    <cellStyle name="60% - Accent4 2 4" xfId="673"/>
    <cellStyle name="60% - Accent4 2 40" xfId="674"/>
    <cellStyle name="60% - Accent4 2 41" xfId="675"/>
    <cellStyle name="60% - Accent4 2 42" xfId="676"/>
    <cellStyle name="60% - Accent4 2 43" xfId="677"/>
    <cellStyle name="60% - Accent4 2 44" xfId="678"/>
    <cellStyle name="60% - Accent4 2 45" xfId="679"/>
    <cellStyle name="60% - Accent4 2 46" xfId="680"/>
    <cellStyle name="60% - Accent4 2 47" xfId="681"/>
    <cellStyle name="60% - Accent4 2 48" xfId="682"/>
    <cellStyle name="60% - Accent4 2 49" xfId="683"/>
    <cellStyle name="60% - Accent4 2 5" xfId="684"/>
    <cellStyle name="60% - Accent4 2 6" xfId="685"/>
    <cellStyle name="60% - Accent4 2 7" xfId="686"/>
    <cellStyle name="60% - Accent4 2 8" xfId="687"/>
    <cellStyle name="60% - Accent4 2 9" xfId="688"/>
    <cellStyle name="60% - Accent5 2" xfId="689"/>
    <cellStyle name="60% - Accent5 2 10" xfId="690"/>
    <cellStyle name="60% - Accent5 2 11" xfId="691"/>
    <cellStyle name="60% - Accent5 2 12" xfId="692"/>
    <cellStyle name="60% - Accent5 2 13" xfId="693"/>
    <cellStyle name="60% - Accent5 2 14" xfId="694"/>
    <cellStyle name="60% - Accent5 2 15" xfId="695"/>
    <cellStyle name="60% - Accent5 2 16" xfId="696"/>
    <cellStyle name="60% - Accent5 2 17" xfId="697"/>
    <cellStyle name="60% - Accent5 2 18" xfId="698"/>
    <cellStyle name="60% - Accent5 2 19" xfId="699"/>
    <cellStyle name="60% - Accent5 2 2" xfId="700"/>
    <cellStyle name="60% - Accent5 2 20" xfId="701"/>
    <cellStyle name="60% - Accent5 2 21" xfId="702"/>
    <cellStyle name="60% - Accent5 2 22" xfId="703"/>
    <cellStyle name="60% - Accent5 2 23" xfId="704"/>
    <cellStyle name="60% - Accent5 2 24" xfId="705"/>
    <cellStyle name="60% - Accent5 2 25" xfId="706"/>
    <cellStyle name="60% - Accent5 2 26" xfId="707"/>
    <cellStyle name="60% - Accent5 2 27" xfId="708"/>
    <cellStyle name="60% - Accent5 2 28" xfId="709"/>
    <cellStyle name="60% - Accent5 2 29" xfId="710"/>
    <cellStyle name="60% - Accent5 2 3" xfId="711"/>
    <cellStyle name="60% - Accent5 2 30" xfId="712"/>
    <cellStyle name="60% - Accent5 2 31" xfId="713"/>
    <cellStyle name="60% - Accent5 2 32" xfId="714"/>
    <cellStyle name="60% - Accent5 2 33" xfId="715"/>
    <cellStyle name="60% - Accent5 2 34" xfId="716"/>
    <cellStyle name="60% - Accent5 2 35" xfId="717"/>
    <cellStyle name="60% - Accent5 2 36" xfId="718"/>
    <cellStyle name="60% - Accent5 2 37" xfId="719"/>
    <cellStyle name="60% - Accent5 2 38" xfId="720"/>
    <cellStyle name="60% - Accent5 2 39" xfId="721"/>
    <cellStyle name="60% - Accent5 2 4" xfId="722"/>
    <cellStyle name="60% - Accent5 2 40" xfId="723"/>
    <cellStyle name="60% - Accent5 2 41" xfId="724"/>
    <cellStyle name="60% - Accent5 2 42" xfId="725"/>
    <cellStyle name="60% - Accent5 2 43" xfId="726"/>
    <cellStyle name="60% - Accent5 2 44" xfId="727"/>
    <cellStyle name="60% - Accent5 2 45" xfId="728"/>
    <cellStyle name="60% - Accent5 2 46" xfId="729"/>
    <cellStyle name="60% - Accent5 2 47" xfId="730"/>
    <cellStyle name="60% - Accent5 2 48" xfId="731"/>
    <cellStyle name="60% - Accent5 2 49" xfId="732"/>
    <cellStyle name="60% - Accent5 2 5" xfId="733"/>
    <cellStyle name="60% - Accent5 2 6" xfId="734"/>
    <cellStyle name="60% - Accent5 2 7" xfId="735"/>
    <cellStyle name="60% - Accent5 2 8" xfId="736"/>
    <cellStyle name="60% - Accent5 2 9" xfId="737"/>
    <cellStyle name="60% - Accent6 2" xfId="738"/>
    <cellStyle name="60% - Accent6 2 10" xfId="739"/>
    <cellStyle name="60% - Accent6 2 11" xfId="740"/>
    <cellStyle name="60% - Accent6 2 12" xfId="741"/>
    <cellStyle name="60% - Accent6 2 13" xfId="742"/>
    <cellStyle name="60% - Accent6 2 14" xfId="743"/>
    <cellStyle name="60% - Accent6 2 15" xfId="744"/>
    <cellStyle name="60% - Accent6 2 16" xfId="745"/>
    <cellStyle name="60% - Accent6 2 17" xfId="746"/>
    <cellStyle name="60% - Accent6 2 18" xfId="747"/>
    <cellStyle name="60% - Accent6 2 19" xfId="748"/>
    <cellStyle name="60% - Accent6 2 2" xfId="749"/>
    <cellStyle name="60% - Accent6 2 20" xfId="750"/>
    <cellStyle name="60% - Accent6 2 21" xfId="751"/>
    <cellStyle name="60% - Accent6 2 22" xfId="752"/>
    <cellStyle name="60% - Accent6 2 23" xfId="753"/>
    <cellStyle name="60% - Accent6 2 24" xfId="754"/>
    <cellStyle name="60% - Accent6 2 25" xfId="755"/>
    <cellStyle name="60% - Accent6 2 26" xfId="756"/>
    <cellStyle name="60% - Accent6 2 27" xfId="757"/>
    <cellStyle name="60% - Accent6 2 28" xfId="758"/>
    <cellStyle name="60% - Accent6 2 29" xfId="759"/>
    <cellStyle name="60% - Accent6 2 3" xfId="760"/>
    <cellStyle name="60% - Accent6 2 30" xfId="761"/>
    <cellStyle name="60% - Accent6 2 31" xfId="762"/>
    <cellStyle name="60% - Accent6 2 32" xfId="763"/>
    <cellStyle name="60% - Accent6 2 33" xfId="764"/>
    <cellStyle name="60% - Accent6 2 34" xfId="765"/>
    <cellStyle name="60% - Accent6 2 35" xfId="766"/>
    <cellStyle name="60% - Accent6 2 36" xfId="767"/>
    <cellStyle name="60% - Accent6 2 37" xfId="768"/>
    <cellStyle name="60% - Accent6 2 38" xfId="769"/>
    <cellStyle name="60% - Accent6 2 39" xfId="770"/>
    <cellStyle name="60% - Accent6 2 4" xfId="771"/>
    <cellStyle name="60% - Accent6 2 40" xfId="772"/>
    <cellStyle name="60% - Accent6 2 41" xfId="773"/>
    <cellStyle name="60% - Accent6 2 42" xfId="774"/>
    <cellStyle name="60% - Accent6 2 43" xfId="775"/>
    <cellStyle name="60% - Accent6 2 44" xfId="776"/>
    <cellStyle name="60% - Accent6 2 45" xfId="777"/>
    <cellStyle name="60% - Accent6 2 46" xfId="778"/>
    <cellStyle name="60% - Accent6 2 47" xfId="779"/>
    <cellStyle name="60% - Accent6 2 48" xfId="780"/>
    <cellStyle name="60% - Accent6 2 49" xfId="781"/>
    <cellStyle name="60% - Accent6 2 5" xfId="782"/>
    <cellStyle name="60% - Accent6 2 6" xfId="783"/>
    <cellStyle name="60% - Accent6 2 7" xfId="784"/>
    <cellStyle name="60% - Accent6 2 8" xfId="785"/>
    <cellStyle name="60% - Accent6 2 9" xfId="786"/>
    <cellStyle name="Accent1 2" xfId="787"/>
    <cellStyle name="Accent1 2 10" xfId="788"/>
    <cellStyle name="Accent1 2 11" xfId="789"/>
    <cellStyle name="Accent1 2 12" xfId="790"/>
    <cellStyle name="Accent1 2 13" xfId="791"/>
    <cellStyle name="Accent1 2 14" xfId="792"/>
    <cellStyle name="Accent1 2 15" xfId="793"/>
    <cellStyle name="Accent1 2 16" xfId="794"/>
    <cellStyle name="Accent1 2 17" xfId="795"/>
    <cellStyle name="Accent1 2 18" xfId="796"/>
    <cellStyle name="Accent1 2 19" xfId="797"/>
    <cellStyle name="Accent1 2 2" xfId="798"/>
    <cellStyle name="Accent1 2 20" xfId="799"/>
    <cellStyle name="Accent1 2 21" xfId="800"/>
    <cellStyle name="Accent1 2 22" xfId="801"/>
    <cellStyle name="Accent1 2 23" xfId="802"/>
    <cellStyle name="Accent1 2 24" xfId="803"/>
    <cellStyle name="Accent1 2 25" xfId="804"/>
    <cellStyle name="Accent1 2 26" xfId="805"/>
    <cellStyle name="Accent1 2 27" xfId="806"/>
    <cellStyle name="Accent1 2 28" xfId="807"/>
    <cellStyle name="Accent1 2 29" xfId="808"/>
    <cellStyle name="Accent1 2 3" xfId="809"/>
    <cellStyle name="Accent1 2 30" xfId="810"/>
    <cellStyle name="Accent1 2 31" xfId="811"/>
    <cellStyle name="Accent1 2 32" xfId="812"/>
    <cellStyle name="Accent1 2 33" xfId="813"/>
    <cellStyle name="Accent1 2 34" xfId="814"/>
    <cellStyle name="Accent1 2 35" xfId="815"/>
    <cellStyle name="Accent1 2 36" xfId="816"/>
    <cellStyle name="Accent1 2 37" xfId="817"/>
    <cellStyle name="Accent1 2 38" xfId="818"/>
    <cellStyle name="Accent1 2 39" xfId="819"/>
    <cellStyle name="Accent1 2 4" xfId="820"/>
    <cellStyle name="Accent1 2 40" xfId="821"/>
    <cellStyle name="Accent1 2 41" xfId="822"/>
    <cellStyle name="Accent1 2 42" xfId="823"/>
    <cellStyle name="Accent1 2 43" xfId="824"/>
    <cellStyle name="Accent1 2 44" xfId="825"/>
    <cellStyle name="Accent1 2 45" xfId="826"/>
    <cellStyle name="Accent1 2 46" xfId="827"/>
    <cellStyle name="Accent1 2 47" xfId="828"/>
    <cellStyle name="Accent1 2 48" xfId="829"/>
    <cellStyle name="Accent1 2 49" xfId="830"/>
    <cellStyle name="Accent1 2 5" xfId="831"/>
    <cellStyle name="Accent1 2 6" xfId="832"/>
    <cellStyle name="Accent1 2 7" xfId="833"/>
    <cellStyle name="Accent1 2 8" xfId="834"/>
    <cellStyle name="Accent1 2 9" xfId="835"/>
    <cellStyle name="Accent2 2" xfId="836"/>
    <cellStyle name="Accent2 2 10" xfId="837"/>
    <cellStyle name="Accent2 2 11" xfId="838"/>
    <cellStyle name="Accent2 2 12" xfId="839"/>
    <cellStyle name="Accent2 2 13" xfId="840"/>
    <cellStyle name="Accent2 2 14" xfId="841"/>
    <cellStyle name="Accent2 2 15" xfId="842"/>
    <cellStyle name="Accent2 2 16" xfId="843"/>
    <cellStyle name="Accent2 2 17" xfId="844"/>
    <cellStyle name="Accent2 2 18" xfId="845"/>
    <cellStyle name="Accent2 2 19" xfId="846"/>
    <cellStyle name="Accent2 2 2" xfId="847"/>
    <cellStyle name="Accent2 2 20" xfId="848"/>
    <cellStyle name="Accent2 2 21" xfId="849"/>
    <cellStyle name="Accent2 2 22" xfId="850"/>
    <cellStyle name="Accent2 2 23" xfId="851"/>
    <cellStyle name="Accent2 2 24" xfId="852"/>
    <cellStyle name="Accent2 2 25" xfId="853"/>
    <cellStyle name="Accent2 2 26" xfId="854"/>
    <cellStyle name="Accent2 2 27" xfId="855"/>
    <cellStyle name="Accent2 2 28" xfId="856"/>
    <cellStyle name="Accent2 2 29" xfId="857"/>
    <cellStyle name="Accent2 2 3" xfId="858"/>
    <cellStyle name="Accent2 2 30" xfId="859"/>
    <cellStyle name="Accent2 2 31" xfId="860"/>
    <cellStyle name="Accent2 2 32" xfId="861"/>
    <cellStyle name="Accent2 2 33" xfId="862"/>
    <cellStyle name="Accent2 2 34" xfId="863"/>
    <cellStyle name="Accent2 2 35" xfId="864"/>
    <cellStyle name="Accent2 2 36" xfId="865"/>
    <cellStyle name="Accent2 2 37" xfId="866"/>
    <cellStyle name="Accent2 2 38" xfId="867"/>
    <cellStyle name="Accent2 2 39" xfId="868"/>
    <cellStyle name="Accent2 2 4" xfId="869"/>
    <cellStyle name="Accent2 2 40" xfId="870"/>
    <cellStyle name="Accent2 2 41" xfId="871"/>
    <cellStyle name="Accent2 2 42" xfId="872"/>
    <cellStyle name="Accent2 2 43" xfId="873"/>
    <cellStyle name="Accent2 2 44" xfId="874"/>
    <cellStyle name="Accent2 2 45" xfId="875"/>
    <cellStyle name="Accent2 2 46" xfId="876"/>
    <cellStyle name="Accent2 2 47" xfId="877"/>
    <cellStyle name="Accent2 2 48" xfId="878"/>
    <cellStyle name="Accent2 2 49" xfId="879"/>
    <cellStyle name="Accent2 2 5" xfId="880"/>
    <cellStyle name="Accent2 2 6" xfId="881"/>
    <cellStyle name="Accent2 2 7" xfId="882"/>
    <cellStyle name="Accent2 2 8" xfId="883"/>
    <cellStyle name="Accent2 2 9" xfId="884"/>
    <cellStyle name="Accent3 2" xfId="885"/>
    <cellStyle name="Accent3 2 10" xfId="886"/>
    <cellStyle name="Accent3 2 11" xfId="887"/>
    <cellStyle name="Accent3 2 12" xfId="888"/>
    <cellStyle name="Accent3 2 13" xfId="889"/>
    <cellStyle name="Accent3 2 14" xfId="890"/>
    <cellStyle name="Accent3 2 15" xfId="891"/>
    <cellStyle name="Accent3 2 16" xfId="892"/>
    <cellStyle name="Accent3 2 17" xfId="893"/>
    <cellStyle name="Accent3 2 18" xfId="894"/>
    <cellStyle name="Accent3 2 19" xfId="895"/>
    <cellStyle name="Accent3 2 2" xfId="896"/>
    <cellStyle name="Accent3 2 20" xfId="897"/>
    <cellStyle name="Accent3 2 21" xfId="898"/>
    <cellStyle name="Accent3 2 22" xfId="899"/>
    <cellStyle name="Accent3 2 23" xfId="900"/>
    <cellStyle name="Accent3 2 24" xfId="901"/>
    <cellStyle name="Accent3 2 25" xfId="902"/>
    <cellStyle name="Accent3 2 26" xfId="903"/>
    <cellStyle name="Accent3 2 27" xfId="904"/>
    <cellStyle name="Accent3 2 28" xfId="905"/>
    <cellStyle name="Accent3 2 29" xfId="906"/>
    <cellStyle name="Accent3 2 3" xfId="907"/>
    <cellStyle name="Accent3 2 30" xfId="908"/>
    <cellStyle name="Accent3 2 31" xfId="909"/>
    <cellStyle name="Accent3 2 32" xfId="910"/>
    <cellStyle name="Accent3 2 33" xfId="911"/>
    <cellStyle name="Accent3 2 34" xfId="912"/>
    <cellStyle name="Accent3 2 35" xfId="913"/>
    <cellStyle name="Accent3 2 36" xfId="914"/>
    <cellStyle name="Accent3 2 37" xfId="915"/>
    <cellStyle name="Accent3 2 38" xfId="916"/>
    <cellStyle name="Accent3 2 39" xfId="917"/>
    <cellStyle name="Accent3 2 4" xfId="918"/>
    <cellStyle name="Accent3 2 40" xfId="919"/>
    <cellStyle name="Accent3 2 41" xfId="920"/>
    <cellStyle name="Accent3 2 42" xfId="921"/>
    <cellStyle name="Accent3 2 43" xfId="922"/>
    <cellStyle name="Accent3 2 44" xfId="923"/>
    <cellStyle name="Accent3 2 45" xfId="924"/>
    <cellStyle name="Accent3 2 46" xfId="925"/>
    <cellStyle name="Accent3 2 47" xfId="926"/>
    <cellStyle name="Accent3 2 48" xfId="927"/>
    <cellStyle name="Accent3 2 49" xfId="928"/>
    <cellStyle name="Accent3 2 5" xfId="929"/>
    <cellStyle name="Accent3 2 6" xfId="930"/>
    <cellStyle name="Accent3 2 7" xfId="931"/>
    <cellStyle name="Accent3 2 8" xfId="932"/>
    <cellStyle name="Accent3 2 9" xfId="933"/>
    <cellStyle name="Accent4 2" xfId="934"/>
    <cellStyle name="Accent4 2 10" xfId="935"/>
    <cellStyle name="Accent4 2 11" xfId="936"/>
    <cellStyle name="Accent4 2 12" xfId="937"/>
    <cellStyle name="Accent4 2 13" xfId="938"/>
    <cellStyle name="Accent4 2 14" xfId="939"/>
    <cellStyle name="Accent4 2 15" xfId="940"/>
    <cellStyle name="Accent4 2 16" xfId="941"/>
    <cellStyle name="Accent4 2 17" xfId="942"/>
    <cellStyle name="Accent4 2 18" xfId="943"/>
    <cellStyle name="Accent4 2 19" xfId="944"/>
    <cellStyle name="Accent4 2 2" xfId="945"/>
    <cellStyle name="Accent4 2 20" xfId="946"/>
    <cellStyle name="Accent4 2 21" xfId="947"/>
    <cellStyle name="Accent4 2 22" xfId="948"/>
    <cellStyle name="Accent4 2 23" xfId="949"/>
    <cellStyle name="Accent4 2 24" xfId="950"/>
    <cellStyle name="Accent4 2 25" xfId="951"/>
    <cellStyle name="Accent4 2 26" xfId="952"/>
    <cellStyle name="Accent4 2 27" xfId="953"/>
    <cellStyle name="Accent4 2 28" xfId="954"/>
    <cellStyle name="Accent4 2 29" xfId="955"/>
    <cellStyle name="Accent4 2 3" xfId="956"/>
    <cellStyle name="Accent4 2 30" xfId="957"/>
    <cellStyle name="Accent4 2 31" xfId="958"/>
    <cellStyle name="Accent4 2 32" xfId="959"/>
    <cellStyle name="Accent4 2 33" xfId="960"/>
    <cellStyle name="Accent4 2 34" xfId="961"/>
    <cellStyle name="Accent4 2 35" xfId="962"/>
    <cellStyle name="Accent4 2 36" xfId="963"/>
    <cellStyle name="Accent4 2 37" xfId="964"/>
    <cellStyle name="Accent4 2 38" xfId="965"/>
    <cellStyle name="Accent4 2 39" xfId="966"/>
    <cellStyle name="Accent4 2 4" xfId="967"/>
    <cellStyle name="Accent4 2 40" xfId="968"/>
    <cellStyle name="Accent4 2 41" xfId="969"/>
    <cellStyle name="Accent4 2 42" xfId="970"/>
    <cellStyle name="Accent4 2 43" xfId="971"/>
    <cellStyle name="Accent4 2 44" xfId="972"/>
    <cellStyle name="Accent4 2 45" xfId="973"/>
    <cellStyle name="Accent4 2 46" xfId="974"/>
    <cellStyle name="Accent4 2 47" xfId="975"/>
    <cellStyle name="Accent4 2 48" xfId="976"/>
    <cellStyle name="Accent4 2 49" xfId="977"/>
    <cellStyle name="Accent4 2 5" xfId="978"/>
    <cellStyle name="Accent4 2 6" xfId="979"/>
    <cellStyle name="Accent4 2 7" xfId="980"/>
    <cellStyle name="Accent4 2 8" xfId="981"/>
    <cellStyle name="Accent4 2 9" xfId="982"/>
    <cellStyle name="Accent5" xfId="983" builtinId="45" customBuiltin="1"/>
    <cellStyle name="Accent6 2" xfId="984"/>
    <cellStyle name="Accent6 2 10" xfId="985"/>
    <cellStyle name="Accent6 2 11" xfId="986"/>
    <cellStyle name="Accent6 2 12" xfId="987"/>
    <cellStyle name="Accent6 2 13" xfId="988"/>
    <cellStyle name="Accent6 2 14" xfId="989"/>
    <cellStyle name="Accent6 2 15" xfId="990"/>
    <cellStyle name="Accent6 2 16" xfId="991"/>
    <cellStyle name="Accent6 2 17" xfId="992"/>
    <cellStyle name="Accent6 2 18" xfId="993"/>
    <cellStyle name="Accent6 2 19" xfId="994"/>
    <cellStyle name="Accent6 2 2" xfId="995"/>
    <cellStyle name="Accent6 2 20" xfId="996"/>
    <cellStyle name="Accent6 2 21" xfId="997"/>
    <cellStyle name="Accent6 2 22" xfId="998"/>
    <cellStyle name="Accent6 2 23" xfId="999"/>
    <cellStyle name="Accent6 2 24" xfId="1000"/>
    <cellStyle name="Accent6 2 25" xfId="1001"/>
    <cellStyle name="Accent6 2 26" xfId="1002"/>
    <cellStyle name="Accent6 2 27" xfId="1003"/>
    <cellStyle name="Accent6 2 28" xfId="1004"/>
    <cellStyle name="Accent6 2 29" xfId="1005"/>
    <cellStyle name="Accent6 2 3" xfId="1006"/>
    <cellStyle name="Accent6 2 30" xfId="1007"/>
    <cellStyle name="Accent6 2 31" xfId="1008"/>
    <cellStyle name="Accent6 2 32" xfId="1009"/>
    <cellStyle name="Accent6 2 33" xfId="1010"/>
    <cellStyle name="Accent6 2 34" xfId="1011"/>
    <cellStyle name="Accent6 2 35" xfId="1012"/>
    <cellStyle name="Accent6 2 36" xfId="1013"/>
    <cellStyle name="Accent6 2 37" xfId="1014"/>
    <cellStyle name="Accent6 2 38" xfId="1015"/>
    <cellStyle name="Accent6 2 39" xfId="1016"/>
    <cellStyle name="Accent6 2 4" xfId="1017"/>
    <cellStyle name="Accent6 2 40" xfId="1018"/>
    <cellStyle name="Accent6 2 41" xfId="1019"/>
    <cellStyle name="Accent6 2 42" xfId="1020"/>
    <cellStyle name="Accent6 2 43" xfId="1021"/>
    <cellStyle name="Accent6 2 44" xfId="1022"/>
    <cellStyle name="Accent6 2 45" xfId="1023"/>
    <cellStyle name="Accent6 2 46" xfId="1024"/>
    <cellStyle name="Accent6 2 47" xfId="1025"/>
    <cellStyle name="Accent6 2 48" xfId="1026"/>
    <cellStyle name="Accent6 2 49" xfId="1027"/>
    <cellStyle name="Accent6 2 5" xfId="1028"/>
    <cellStyle name="Accent6 2 6" xfId="1029"/>
    <cellStyle name="Accent6 2 7" xfId="1030"/>
    <cellStyle name="Accent6 2 8" xfId="1031"/>
    <cellStyle name="Accent6 2 9" xfId="1032"/>
    <cellStyle name="Bad 2" xfId="1033"/>
    <cellStyle name="Bad 2 10" xfId="1034"/>
    <cellStyle name="Bad 2 11" xfId="1035"/>
    <cellStyle name="Bad 2 12" xfId="1036"/>
    <cellStyle name="Bad 2 13" xfId="1037"/>
    <cellStyle name="Bad 2 14" xfId="1038"/>
    <cellStyle name="Bad 2 15" xfId="1039"/>
    <cellStyle name="Bad 2 16" xfId="1040"/>
    <cellStyle name="Bad 2 17" xfId="1041"/>
    <cellStyle name="Bad 2 18" xfId="1042"/>
    <cellStyle name="Bad 2 19" xfId="1043"/>
    <cellStyle name="Bad 2 2" xfId="1044"/>
    <cellStyle name="Bad 2 20" xfId="1045"/>
    <cellStyle name="Bad 2 21" xfId="1046"/>
    <cellStyle name="Bad 2 22" xfId="1047"/>
    <cellStyle name="Bad 2 23" xfId="1048"/>
    <cellStyle name="Bad 2 24" xfId="1049"/>
    <cellStyle name="Bad 2 25" xfId="1050"/>
    <cellStyle name="Bad 2 26" xfId="1051"/>
    <cellStyle name="Bad 2 27" xfId="1052"/>
    <cellStyle name="Bad 2 28" xfId="1053"/>
    <cellStyle name="Bad 2 29" xfId="1054"/>
    <cellStyle name="Bad 2 3" xfId="1055"/>
    <cellStyle name="Bad 2 30" xfId="1056"/>
    <cellStyle name="Bad 2 31" xfId="1057"/>
    <cellStyle name="Bad 2 32" xfId="1058"/>
    <cellStyle name="Bad 2 33" xfId="1059"/>
    <cellStyle name="Bad 2 34" xfId="1060"/>
    <cellStyle name="Bad 2 35" xfId="1061"/>
    <cellStyle name="Bad 2 36" xfId="1062"/>
    <cellStyle name="Bad 2 37" xfId="1063"/>
    <cellStyle name="Bad 2 38" xfId="1064"/>
    <cellStyle name="Bad 2 39" xfId="1065"/>
    <cellStyle name="Bad 2 4" xfId="1066"/>
    <cellStyle name="Bad 2 40" xfId="1067"/>
    <cellStyle name="Bad 2 41" xfId="1068"/>
    <cellStyle name="Bad 2 42" xfId="1069"/>
    <cellStyle name="Bad 2 43" xfId="1070"/>
    <cellStyle name="Bad 2 44" xfId="1071"/>
    <cellStyle name="Bad 2 45" xfId="1072"/>
    <cellStyle name="Bad 2 46" xfId="1073"/>
    <cellStyle name="Bad 2 47" xfId="1074"/>
    <cellStyle name="Bad 2 48" xfId="1075"/>
    <cellStyle name="Bad 2 49" xfId="1076"/>
    <cellStyle name="Bad 2 5" xfId="1077"/>
    <cellStyle name="Bad 2 6" xfId="1078"/>
    <cellStyle name="Bad 2 7" xfId="1079"/>
    <cellStyle name="Bad 2 8" xfId="1080"/>
    <cellStyle name="Bad 2 9" xfId="1081"/>
    <cellStyle name="Calculation 2" xfId="1082"/>
    <cellStyle name="Calculation 2 10" xfId="1083"/>
    <cellStyle name="Calculation 2 11" xfId="1084"/>
    <cellStyle name="Calculation 2 12" xfId="1085"/>
    <cellStyle name="Calculation 2 13" xfId="1086"/>
    <cellStyle name="Calculation 2 14" xfId="1087"/>
    <cellStyle name="Calculation 2 15" xfId="1088"/>
    <cellStyle name="Calculation 2 16" xfId="1089"/>
    <cellStyle name="Calculation 2 17" xfId="1090"/>
    <cellStyle name="Calculation 2 18" xfId="1091"/>
    <cellStyle name="Calculation 2 19" xfId="1092"/>
    <cellStyle name="Calculation 2 2" xfId="1093"/>
    <cellStyle name="Calculation 2 20" xfId="1094"/>
    <cellStyle name="Calculation 2 21" xfId="1095"/>
    <cellStyle name="Calculation 2 22" xfId="1096"/>
    <cellStyle name="Calculation 2 23" xfId="1097"/>
    <cellStyle name="Calculation 2 24" xfId="1098"/>
    <cellStyle name="Calculation 2 25" xfId="1099"/>
    <cellStyle name="Calculation 2 26" xfId="1100"/>
    <cellStyle name="Calculation 2 27" xfId="1101"/>
    <cellStyle name="Calculation 2 28" xfId="1102"/>
    <cellStyle name="Calculation 2 29" xfId="1103"/>
    <cellStyle name="Calculation 2 3" xfId="1104"/>
    <cellStyle name="Calculation 2 30" xfId="1105"/>
    <cellStyle name="Calculation 2 31" xfId="1106"/>
    <cellStyle name="Calculation 2 32" xfId="1107"/>
    <cellStyle name="Calculation 2 33" xfId="1108"/>
    <cellStyle name="Calculation 2 34" xfId="1109"/>
    <cellStyle name="Calculation 2 35" xfId="1110"/>
    <cellStyle name="Calculation 2 36" xfId="1111"/>
    <cellStyle name="Calculation 2 37" xfId="1112"/>
    <cellStyle name="Calculation 2 38" xfId="1113"/>
    <cellStyle name="Calculation 2 39" xfId="1114"/>
    <cellStyle name="Calculation 2 4" xfId="1115"/>
    <cellStyle name="Calculation 2 40" xfId="1116"/>
    <cellStyle name="Calculation 2 41" xfId="1117"/>
    <cellStyle name="Calculation 2 42" xfId="1118"/>
    <cellStyle name="Calculation 2 43" xfId="1119"/>
    <cellStyle name="Calculation 2 44" xfId="1120"/>
    <cellStyle name="Calculation 2 45" xfId="1121"/>
    <cellStyle name="Calculation 2 46" xfId="1122"/>
    <cellStyle name="Calculation 2 47" xfId="1123"/>
    <cellStyle name="Calculation 2 48" xfId="1124"/>
    <cellStyle name="Calculation 2 49" xfId="1125"/>
    <cellStyle name="Calculation 2 5" xfId="1126"/>
    <cellStyle name="Calculation 2 6" xfId="1127"/>
    <cellStyle name="Calculation 2 7" xfId="1128"/>
    <cellStyle name="Calculation 2 8" xfId="1129"/>
    <cellStyle name="Calculation 2 9" xfId="1130"/>
    <cellStyle name="Check Cell" xfId="1131" builtinId="23" customBuiltin="1"/>
    <cellStyle name="Explanatory Text" xfId="1132" builtinId="53" customBuiltin="1"/>
    <cellStyle name="Good 2" xfId="1133"/>
    <cellStyle name="Good 2 10" xfId="1134"/>
    <cellStyle name="Good 2 11" xfId="1135"/>
    <cellStyle name="Good 2 12" xfId="1136"/>
    <cellStyle name="Good 2 13" xfId="1137"/>
    <cellStyle name="Good 2 14" xfId="1138"/>
    <cellStyle name="Good 2 15" xfId="1139"/>
    <cellStyle name="Good 2 16" xfId="1140"/>
    <cellStyle name="Good 2 17" xfId="1141"/>
    <cellStyle name="Good 2 18" xfId="1142"/>
    <cellStyle name="Good 2 19" xfId="1143"/>
    <cellStyle name="Good 2 2" xfId="1144"/>
    <cellStyle name="Good 2 20" xfId="1145"/>
    <cellStyle name="Good 2 21" xfId="1146"/>
    <cellStyle name="Good 2 22" xfId="1147"/>
    <cellStyle name="Good 2 23" xfId="1148"/>
    <cellStyle name="Good 2 24" xfId="1149"/>
    <cellStyle name="Good 2 25" xfId="1150"/>
    <cellStyle name="Good 2 26" xfId="1151"/>
    <cellStyle name="Good 2 27" xfId="1152"/>
    <cellStyle name="Good 2 28" xfId="1153"/>
    <cellStyle name="Good 2 29" xfId="1154"/>
    <cellStyle name="Good 2 3" xfId="1155"/>
    <cellStyle name="Good 2 30" xfId="1156"/>
    <cellStyle name="Good 2 31" xfId="1157"/>
    <cellStyle name="Good 2 32" xfId="1158"/>
    <cellStyle name="Good 2 33" xfId="1159"/>
    <cellStyle name="Good 2 34" xfId="1160"/>
    <cellStyle name="Good 2 35" xfId="1161"/>
    <cellStyle name="Good 2 36" xfId="1162"/>
    <cellStyle name="Good 2 37" xfId="1163"/>
    <cellStyle name="Good 2 38" xfId="1164"/>
    <cellStyle name="Good 2 39" xfId="1165"/>
    <cellStyle name="Good 2 4" xfId="1166"/>
    <cellStyle name="Good 2 40" xfId="1167"/>
    <cellStyle name="Good 2 41" xfId="1168"/>
    <cellStyle name="Good 2 42" xfId="1169"/>
    <cellStyle name="Good 2 43" xfId="1170"/>
    <cellStyle name="Good 2 44" xfId="1171"/>
    <cellStyle name="Good 2 45" xfId="1172"/>
    <cellStyle name="Good 2 46" xfId="1173"/>
    <cellStyle name="Good 2 47" xfId="1174"/>
    <cellStyle name="Good 2 48" xfId="1175"/>
    <cellStyle name="Good 2 49" xfId="1176"/>
    <cellStyle name="Good 2 5" xfId="1177"/>
    <cellStyle name="Good 2 6" xfId="1178"/>
    <cellStyle name="Good 2 7" xfId="1179"/>
    <cellStyle name="Good 2 8" xfId="1180"/>
    <cellStyle name="Good 2 9" xfId="1181"/>
    <cellStyle name="Heading 1 2" xfId="1182"/>
    <cellStyle name="Heading 1 2 10" xfId="1183"/>
    <cellStyle name="Heading 1 2 11" xfId="1184"/>
    <cellStyle name="Heading 1 2 12" xfId="1185"/>
    <cellStyle name="Heading 1 2 13" xfId="1186"/>
    <cellStyle name="Heading 1 2 14" xfId="1187"/>
    <cellStyle name="Heading 1 2 15" xfId="1188"/>
    <cellStyle name="Heading 1 2 16" xfId="1189"/>
    <cellStyle name="Heading 1 2 17" xfId="1190"/>
    <cellStyle name="Heading 1 2 18" xfId="1191"/>
    <cellStyle name="Heading 1 2 19" xfId="1192"/>
    <cellStyle name="Heading 1 2 2" xfId="1193"/>
    <cellStyle name="Heading 1 2 20" xfId="1194"/>
    <cellStyle name="Heading 1 2 21" xfId="1195"/>
    <cellStyle name="Heading 1 2 22" xfId="1196"/>
    <cellStyle name="Heading 1 2 23" xfId="1197"/>
    <cellStyle name="Heading 1 2 24" xfId="1198"/>
    <cellStyle name="Heading 1 2 25" xfId="1199"/>
    <cellStyle name="Heading 1 2 26" xfId="1200"/>
    <cellStyle name="Heading 1 2 27" xfId="1201"/>
    <cellStyle name="Heading 1 2 28" xfId="1202"/>
    <cellStyle name="Heading 1 2 29" xfId="1203"/>
    <cellStyle name="Heading 1 2 3" xfId="1204"/>
    <cellStyle name="Heading 1 2 30" xfId="1205"/>
    <cellStyle name="Heading 1 2 31" xfId="1206"/>
    <cellStyle name="Heading 1 2 32" xfId="1207"/>
    <cellStyle name="Heading 1 2 33" xfId="1208"/>
    <cellStyle name="Heading 1 2 34" xfId="1209"/>
    <cellStyle name="Heading 1 2 35" xfId="1210"/>
    <cellStyle name="Heading 1 2 36" xfId="1211"/>
    <cellStyle name="Heading 1 2 37" xfId="1212"/>
    <cellStyle name="Heading 1 2 38" xfId="1213"/>
    <cellStyle name="Heading 1 2 39" xfId="1214"/>
    <cellStyle name="Heading 1 2 4" xfId="1215"/>
    <cellStyle name="Heading 1 2 40" xfId="1216"/>
    <cellStyle name="Heading 1 2 41" xfId="1217"/>
    <cellStyle name="Heading 1 2 42" xfId="1218"/>
    <cellStyle name="Heading 1 2 43" xfId="1219"/>
    <cellStyle name="Heading 1 2 44" xfId="1220"/>
    <cellStyle name="Heading 1 2 45" xfId="1221"/>
    <cellStyle name="Heading 1 2 46" xfId="1222"/>
    <cellStyle name="Heading 1 2 47" xfId="1223"/>
    <cellStyle name="Heading 1 2 48" xfId="1224"/>
    <cellStyle name="Heading 1 2 49" xfId="1225"/>
    <cellStyle name="Heading 1 2 49 2" xfId="1226"/>
    <cellStyle name="Heading 1 2 5" xfId="1227"/>
    <cellStyle name="Heading 1 2 50" xfId="1228"/>
    <cellStyle name="Heading 1 2 50 2" xfId="1229"/>
    <cellStyle name="Heading 1 2 6" xfId="1230"/>
    <cellStyle name="Heading 1 2 7" xfId="1231"/>
    <cellStyle name="Heading 1 2 8" xfId="1232"/>
    <cellStyle name="Heading 1 2 9" xfId="1233"/>
    <cellStyle name="Heading 2 2" xfId="1234"/>
    <cellStyle name="Heading 2 2 10" xfId="1235"/>
    <cellStyle name="Heading 2 2 11" xfId="1236"/>
    <cellStyle name="Heading 2 2 12" xfId="1237"/>
    <cellStyle name="Heading 2 2 13" xfId="1238"/>
    <cellStyle name="Heading 2 2 14" xfId="1239"/>
    <cellStyle name="Heading 2 2 15" xfId="1240"/>
    <cellStyle name="Heading 2 2 16" xfId="1241"/>
    <cellStyle name="Heading 2 2 17" xfId="1242"/>
    <cellStyle name="Heading 2 2 18" xfId="1243"/>
    <cellStyle name="Heading 2 2 19" xfId="1244"/>
    <cellStyle name="Heading 2 2 2" xfId="1245"/>
    <cellStyle name="Heading 2 2 20" xfId="1246"/>
    <cellStyle name="Heading 2 2 21" xfId="1247"/>
    <cellStyle name="Heading 2 2 22" xfId="1248"/>
    <cellStyle name="Heading 2 2 23" xfId="1249"/>
    <cellStyle name="Heading 2 2 24" xfId="1250"/>
    <cellStyle name="Heading 2 2 25" xfId="1251"/>
    <cellStyle name="Heading 2 2 26" xfId="1252"/>
    <cellStyle name="Heading 2 2 27" xfId="1253"/>
    <cellStyle name="Heading 2 2 28" xfId="1254"/>
    <cellStyle name="Heading 2 2 29" xfId="1255"/>
    <cellStyle name="Heading 2 2 3" xfId="1256"/>
    <cellStyle name="Heading 2 2 30" xfId="1257"/>
    <cellStyle name="Heading 2 2 31" xfId="1258"/>
    <cellStyle name="Heading 2 2 32" xfId="1259"/>
    <cellStyle name="Heading 2 2 33" xfId="1260"/>
    <cellStyle name="Heading 2 2 34" xfId="1261"/>
    <cellStyle name="Heading 2 2 35" xfId="1262"/>
    <cellStyle name="Heading 2 2 36" xfId="1263"/>
    <cellStyle name="Heading 2 2 37" xfId="1264"/>
    <cellStyle name="Heading 2 2 38" xfId="1265"/>
    <cellStyle name="Heading 2 2 39" xfId="1266"/>
    <cellStyle name="Heading 2 2 4" xfId="1267"/>
    <cellStyle name="Heading 2 2 40" xfId="1268"/>
    <cellStyle name="Heading 2 2 41" xfId="1269"/>
    <cellStyle name="Heading 2 2 42" xfId="1270"/>
    <cellStyle name="Heading 2 2 43" xfId="1271"/>
    <cellStyle name="Heading 2 2 44" xfId="1272"/>
    <cellStyle name="Heading 2 2 45" xfId="1273"/>
    <cellStyle name="Heading 2 2 46" xfId="1274"/>
    <cellStyle name="Heading 2 2 47" xfId="1275"/>
    <cellStyle name="Heading 2 2 48" xfId="1276"/>
    <cellStyle name="Heading 2 2 49" xfId="1277"/>
    <cellStyle name="Heading 2 2 49 2" xfId="1278"/>
    <cellStyle name="Heading 2 2 5" xfId="1279"/>
    <cellStyle name="Heading 2 2 50" xfId="1280"/>
    <cellStyle name="Heading 2 2 50 2" xfId="1281"/>
    <cellStyle name="Heading 2 2 6" xfId="1282"/>
    <cellStyle name="Heading 2 2 7" xfId="1283"/>
    <cellStyle name="Heading 2 2 8" xfId="1284"/>
    <cellStyle name="Heading 2 2 9" xfId="1285"/>
    <cellStyle name="Heading 3 2" xfId="1286"/>
    <cellStyle name="Heading 3 2 10" xfId="1287"/>
    <cellStyle name="Heading 3 2 11" xfId="1288"/>
    <cellStyle name="Heading 3 2 12" xfId="1289"/>
    <cellStyle name="Heading 3 2 13" xfId="1290"/>
    <cellStyle name="Heading 3 2 14" xfId="1291"/>
    <cellStyle name="Heading 3 2 15" xfId="1292"/>
    <cellStyle name="Heading 3 2 16" xfId="1293"/>
    <cellStyle name="Heading 3 2 17" xfId="1294"/>
    <cellStyle name="Heading 3 2 18" xfId="1295"/>
    <cellStyle name="Heading 3 2 19" xfId="1296"/>
    <cellStyle name="Heading 3 2 2" xfId="1297"/>
    <cellStyle name="Heading 3 2 20" xfId="1298"/>
    <cellStyle name="Heading 3 2 21" xfId="1299"/>
    <cellStyle name="Heading 3 2 22" xfId="1300"/>
    <cellStyle name="Heading 3 2 23" xfId="1301"/>
    <cellStyle name="Heading 3 2 24" xfId="1302"/>
    <cellStyle name="Heading 3 2 25" xfId="1303"/>
    <cellStyle name="Heading 3 2 26" xfId="1304"/>
    <cellStyle name="Heading 3 2 27" xfId="1305"/>
    <cellStyle name="Heading 3 2 28" xfId="1306"/>
    <cellStyle name="Heading 3 2 29" xfId="1307"/>
    <cellStyle name="Heading 3 2 3" xfId="1308"/>
    <cellStyle name="Heading 3 2 30" xfId="1309"/>
    <cellStyle name="Heading 3 2 31" xfId="1310"/>
    <cellStyle name="Heading 3 2 32" xfId="1311"/>
    <cellStyle name="Heading 3 2 33" xfId="1312"/>
    <cellStyle name="Heading 3 2 34" xfId="1313"/>
    <cellStyle name="Heading 3 2 35" xfId="1314"/>
    <cellStyle name="Heading 3 2 36" xfId="1315"/>
    <cellStyle name="Heading 3 2 37" xfId="1316"/>
    <cellStyle name="Heading 3 2 38" xfId="1317"/>
    <cellStyle name="Heading 3 2 39" xfId="1318"/>
    <cellStyle name="Heading 3 2 4" xfId="1319"/>
    <cellStyle name="Heading 3 2 40" xfId="1320"/>
    <cellStyle name="Heading 3 2 41" xfId="1321"/>
    <cellStyle name="Heading 3 2 42" xfId="1322"/>
    <cellStyle name="Heading 3 2 43" xfId="1323"/>
    <cellStyle name="Heading 3 2 44" xfId="1324"/>
    <cellStyle name="Heading 3 2 45" xfId="1325"/>
    <cellStyle name="Heading 3 2 46" xfId="1326"/>
    <cellStyle name="Heading 3 2 47" xfId="1327"/>
    <cellStyle name="Heading 3 2 48" xfId="1328"/>
    <cellStyle name="Heading 3 2 49" xfId="1329"/>
    <cellStyle name="Heading 3 2 49 2" xfId="1330"/>
    <cellStyle name="Heading 3 2 5" xfId="1331"/>
    <cellStyle name="Heading 3 2 50" xfId="1332"/>
    <cellStyle name="Heading 3 2 50 2" xfId="1333"/>
    <cellStyle name="Heading 3 2 6" xfId="1334"/>
    <cellStyle name="Heading 3 2 7" xfId="1335"/>
    <cellStyle name="Heading 3 2 8" xfId="1336"/>
    <cellStyle name="Heading 3 2 9" xfId="1337"/>
    <cellStyle name="Heading 4 2" xfId="1338"/>
    <cellStyle name="Heading 4 2 10" xfId="1339"/>
    <cellStyle name="Heading 4 2 11" xfId="1340"/>
    <cellStyle name="Heading 4 2 12" xfId="1341"/>
    <cellStyle name="Heading 4 2 13" xfId="1342"/>
    <cellStyle name="Heading 4 2 14" xfId="1343"/>
    <cellStyle name="Heading 4 2 15" xfId="1344"/>
    <cellStyle name="Heading 4 2 16" xfId="1345"/>
    <cellStyle name="Heading 4 2 17" xfId="1346"/>
    <cellStyle name="Heading 4 2 18" xfId="1347"/>
    <cellStyle name="Heading 4 2 19" xfId="1348"/>
    <cellStyle name="Heading 4 2 2" xfId="1349"/>
    <cellStyle name="Heading 4 2 20" xfId="1350"/>
    <cellStyle name="Heading 4 2 21" xfId="1351"/>
    <cellStyle name="Heading 4 2 22" xfId="1352"/>
    <cellStyle name="Heading 4 2 23" xfId="1353"/>
    <cellStyle name="Heading 4 2 24" xfId="1354"/>
    <cellStyle name="Heading 4 2 25" xfId="1355"/>
    <cellStyle name="Heading 4 2 26" xfId="1356"/>
    <cellStyle name="Heading 4 2 27" xfId="1357"/>
    <cellStyle name="Heading 4 2 28" xfId="1358"/>
    <cellStyle name="Heading 4 2 29" xfId="1359"/>
    <cellStyle name="Heading 4 2 3" xfId="1360"/>
    <cellStyle name="Heading 4 2 30" xfId="1361"/>
    <cellStyle name="Heading 4 2 31" xfId="1362"/>
    <cellStyle name="Heading 4 2 32" xfId="1363"/>
    <cellStyle name="Heading 4 2 33" xfId="1364"/>
    <cellStyle name="Heading 4 2 34" xfId="1365"/>
    <cellStyle name="Heading 4 2 35" xfId="1366"/>
    <cellStyle name="Heading 4 2 36" xfId="1367"/>
    <cellStyle name="Heading 4 2 37" xfId="1368"/>
    <cellStyle name="Heading 4 2 38" xfId="1369"/>
    <cellStyle name="Heading 4 2 39" xfId="1370"/>
    <cellStyle name="Heading 4 2 4" xfId="1371"/>
    <cellStyle name="Heading 4 2 40" xfId="1372"/>
    <cellStyle name="Heading 4 2 41" xfId="1373"/>
    <cellStyle name="Heading 4 2 42" xfId="1374"/>
    <cellStyle name="Heading 4 2 43" xfId="1375"/>
    <cellStyle name="Heading 4 2 44" xfId="1376"/>
    <cellStyle name="Heading 4 2 45" xfId="1377"/>
    <cellStyle name="Heading 4 2 46" xfId="1378"/>
    <cellStyle name="Heading 4 2 47" xfId="1379"/>
    <cellStyle name="Heading 4 2 48" xfId="1380"/>
    <cellStyle name="Heading 4 2 49" xfId="1381"/>
    <cellStyle name="Heading 4 2 49 2" xfId="1382"/>
    <cellStyle name="Heading 4 2 5" xfId="1383"/>
    <cellStyle name="Heading 4 2 50" xfId="1384"/>
    <cellStyle name="Heading 4 2 50 2" xfId="1385"/>
    <cellStyle name="Heading 4 2 6" xfId="1386"/>
    <cellStyle name="Heading 4 2 7" xfId="1387"/>
    <cellStyle name="Heading 4 2 8" xfId="1388"/>
    <cellStyle name="Heading 4 2 9" xfId="1389"/>
    <cellStyle name="Input 2" xfId="1390"/>
    <cellStyle name="Input 2 10" xfId="1391"/>
    <cellStyle name="Input 2 11" xfId="1392"/>
    <cellStyle name="Input 2 12" xfId="1393"/>
    <cellStyle name="Input 2 13" xfId="1394"/>
    <cellStyle name="Input 2 14" xfId="1395"/>
    <cellStyle name="Input 2 15" xfId="1396"/>
    <cellStyle name="Input 2 16" xfId="1397"/>
    <cellStyle name="Input 2 17" xfId="1398"/>
    <cellStyle name="Input 2 18" xfId="1399"/>
    <cellStyle name="Input 2 19" xfId="1400"/>
    <cellStyle name="Input 2 2" xfId="1401"/>
    <cellStyle name="Input 2 20" xfId="1402"/>
    <cellStyle name="Input 2 21" xfId="1403"/>
    <cellStyle name="Input 2 22" xfId="1404"/>
    <cellStyle name="Input 2 23" xfId="1405"/>
    <cellStyle name="Input 2 24" xfId="1406"/>
    <cellStyle name="Input 2 25" xfId="1407"/>
    <cellStyle name="Input 2 26" xfId="1408"/>
    <cellStyle name="Input 2 27" xfId="1409"/>
    <cellStyle name="Input 2 28" xfId="1410"/>
    <cellStyle name="Input 2 29" xfId="1411"/>
    <cellStyle name="Input 2 3" xfId="1412"/>
    <cellStyle name="Input 2 30" xfId="1413"/>
    <cellStyle name="Input 2 31" xfId="1414"/>
    <cellStyle name="Input 2 32" xfId="1415"/>
    <cellStyle name="Input 2 33" xfId="1416"/>
    <cellStyle name="Input 2 34" xfId="1417"/>
    <cellStyle name="Input 2 35" xfId="1418"/>
    <cellStyle name="Input 2 36" xfId="1419"/>
    <cellStyle name="Input 2 37" xfId="1420"/>
    <cellStyle name="Input 2 38" xfId="1421"/>
    <cellStyle name="Input 2 39" xfId="1422"/>
    <cellStyle name="Input 2 4" xfId="1423"/>
    <cellStyle name="Input 2 40" xfId="1424"/>
    <cellStyle name="Input 2 41" xfId="1425"/>
    <cellStyle name="Input 2 42" xfId="1426"/>
    <cellStyle name="Input 2 43" xfId="1427"/>
    <cellStyle name="Input 2 44" xfId="1428"/>
    <cellStyle name="Input 2 45" xfId="1429"/>
    <cellStyle name="Input 2 46" xfId="1430"/>
    <cellStyle name="Input 2 47" xfId="1431"/>
    <cellStyle name="Input 2 48" xfId="1432"/>
    <cellStyle name="Input 2 49" xfId="1433"/>
    <cellStyle name="Input 2 5" xfId="1434"/>
    <cellStyle name="Input 2 6" xfId="1435"/>
    <cellStyle name="Input 2 7" xfId="1436"/>
    <cellStyle name="Input 2 8" xfId="1437"/>
    <cellStyle name="Input 2 9" xfId="1438"/>
    <cellStyle name="Linked Cell 2" xfId="1439"/>
    <cellStyle name="Linked Cell 2 10" xfId="1440"/>
    <cellStyle name="Linked Cell 2 11" xfId="1441"/>
    <cellStyle name="Linked Cell 2 12" xfId="1442"/>
    <cellStyle name="Linked Cell 2 13" xfId="1443"/>
    <cellStyle name="Linked Cell 2 14" xfId="1444"/>
    <cellStyle name="Linked Cell 2 15" xfId="1445"/>
    <cellStyle name="Linked Cell 2 16" xfId="1446"/>
    <cellStyle name="Linked Cell 2 17" xfId="1447"/>
    <cellStyle name="Linked Cell 2 18" xfId="1448"/>
    <cellStyle name="Linked Cell 2 19" xfId="1449"/>
    <cellStyle name="Linked Cell 2 2" xfId="1450"/>
    <cellStyle name="Linked Cell 2 20" xfId="1451"/>
    <cellStyle name="Linked Cell 2 21" xfId="1452"/>
    <cellStyle name="Linked Cell 2 22" xfId="1453"/>
    <cellStyle name="Linked Cell 2 23" xfId="1454"/>
    <cellStyle name="Linked Cell 2 24" xfId="1455"/>
    <cellStyle name="Linked Cell 2 25" xfId="1456"/>
    <cellStyle name="Linked Cell 2 26" xfId="1457"/>
    <cellStyle name="Linked Cell 2 27" xfId="1458"/>
    <cellStyle name="Linked Cell 2 28" xfId="1459"/>
    <cellStyle name="Linked Cell 2 29" xfId="1460"/>
    <cellStyle name="Linked Cell 2 3" xfId="1461"/>
    <cellStyle name="Linked Cell 2 30" xfId="1462"/>
    <cellStyle name="Linked Cell 2 31" xfId="1463"/>
    <cellStyle name="Linked Cell 2 32" xfId="1464"/>
    <cellStyle name="Linked Cell 2 33" xfId="1465"/>
    <cellStyle name="Linked Cell 2 34" xfId="1466"/>
    <cellStyle name="Linked Cell 2 35" xfId="1467"/>
    <cellStyle name="Linked Cell 2 36" xfId="1468"/>
    <cellStyle name="Linked Cell 2 37" xfId="1469"/>
    <cellStyle name="Linked Cell 2 38" xfId="1470"/>
    <cellStyle name="Linked Cell 2 39" xfId="1471"/>
    <cellStyle name="Linked Cell 2 4" xfId="1472"/>
    <cellStyle name="Linked Cell 2 40" xfId="1473"/>
    <cellStyle name="Linked Cell 2 41" xfId="1474"/>
    <cellStyle name="Linked Cell 2 42" xfId="1475"/>
    <cellStyle name="Linked Cell 2 43" xfId="1476"/>
    <cellStyle name="Linked Cell 2 44" xfId="1477"/>
    <cellStyle name="Linked Cell 2 45" xfId="1478"/>
    <cellStyle name="Linked Cell 2 46" xfId="1479"/>
    <cellStyle name="Linked Cell 2 47" xfId="1480"/>
    <cellStyle name="Linked Cell 2 48" xfId="1481"/>
    <cellStyle name="Linked Cell 2 49" xfId="1482"/>
    <cellStyle name="Linked Cell 2 49 2" xfId="1483"/>
    <cellStyle name="Linked Cell 2 5" xfId="1484"/>
    <cellStyle name="Linked Cell 2 50" xfId="1485"/>
    <cellStyle name="Linked Cell 2 50 2" xfId="1486"/>
    <cellStyle name="Linked Cell 2 6" xfId="1487"/>
    <cellStyle name="Linked Cell 2 7" xfId="1488"/>
    <cellStyle name="Linked Cell 2 8" xfId="1489"/>
    <cellStyle name="Linked Cell 2 9" xfId="1490"/>
    <cellStyle name="Neutral 2" xfId="1491"/>
    <cellStyle name="Neutral 2 10" xfId="1492"/>
    <cellStyle name="Neutral 2 11" xfId="1493"/>
    <cellStyle name="Neutral 2 12" xfId="1494"/>
    <cellStyle name="Neutral 2 13" xfId="1495"/>
    <cellStyle name="Neutral 2 14" xfId="1496"/>
    <cellStyle name="Neutral 2 15" xfId="1497"/>
    <cellStyle name="Neutral 2 16" xfId="1498"/>
    <cellStyle name="Neutral 2 17" xfId="1499"/>
    <cellStyle name="Neutral 2 18" xfId="1500"/>
    <cellStyle name="Neutral 2 19" xfId="1501"/>
    <cellStyle name="Neutral 2 2" xfId="1502"/>
    <cellStyle name="Neutral 2 20" xfId="1503"/>
    <cellStyle name="Neutral 2 21" xfId="1504"/>
    <cellStyle name="Neutral 2 22" xfId="1505"/>
    <cellStyle name="Neutral 2 23" xfId="1506"/>
    <cellStyle name="Neutral 2 24" xfId="1507"/>
    <cellStyle name="Neutral 2 25" xfId="1508"/>
    <cellStyle name="Neutral 2 26" xfId="1509"/>
    <cellStyle name="Neutral 2 27" xfId="1510"/>
    <cellStyle name="Neutral 2 28" xfId="1511"/>
    <cellStyle name="Neutral 2 29" xfId="1512"/>
    <cellStyle name="Neutral 2 3" xfId="1513"/>
    <cellStyle name="Neutral 2 30" xfId="1514"/>
    <cellStyle name="Neutral 2 31" xfId="1515"/>
    <cellStyle name="Neutral 2 32" xfId="1516"/>
    <cellStyle name="Neutral 2 33" xfId="1517"/>
    <cellStyle name="Neutral 2 34" xfId="1518"/>
    <cellStyle name="Neutral 2 35" xfId="1519"/>
    <cellStyle name="Neutral 2 36" xfId="1520"/>
    <cellStyle name="Neutral 2 37" xfId="1521"/>
    <cellStyle name="Neutral 2 38" xfId="1522"/>
    <cellStyle name="Neutral 2 39" xfId="1523"/>
    <cellStyle name="Neutral 2 4" xfId="1524"/>
    <cellStyle name="Neutral 2 40" xfId="1525"/>
    <cellStyle name="Neutral 2 41" xfId="1526"/>
    <cellStyle name="Neutral 2 42" xfId="1527"/>
    <cellStyle name="Neutral 2 43" xfId="1528"/>
    <cellStyle name="Neutral 2 44" xfId="1529"/>
    <cellStyle name="Neutral 2 45" xfId="1530"/>
    <cellStyle name="Neutral 2 46" xfId="1531"/>
    <cellStyle name="Neutral 2 47" xfId="1532"/>
    <cellStyle name="Neutral 2 48" xfId="1533"/>
    <cellStyle name="Neutral 2 49" xfId="1534"/>
    <cellStyle name="Neutral 2 5" xfId="1535"/>
    <cellStyle name="Neutral 2 6" xfId="1536"/>
    <cellStyle name="Neutral 2 7" xfId="1537"/>
    <cellStyle name="Neutral 2 8" xfId="1538"/>
    <cellStyle name="Neutral 2 9" xfId="1539"/>
    <cellStyle name="Normal" xfId="0" builtinId="0"/>
    <cellStyle name="Normal 10" xfId="1540"/>
    <cellStyle name="Normal 10 2" xfId="1541"/>
    <cellStyle name="Normal 100" xfId="1542"/>
    <cellStyle name="Normal 100 2" xfId="1543"/>
    <cellStyle name="Normal 101" xfId="1544"/>
    <cellStyle name="Normal 101 2" xfId="1545"/>
    <cellStyle name="Normal 102" xfId="1546"/>
    <cellStyle name="Normal 102 2" xfId="1547"/>
    <cellStyle name="Normal 103" xfId="1548"/>
    <cellStyle name="Normal 103 2" xfId="1549"/>
    <cellStyle name="Normal 104" xfId="1550"/>
    <cellStyle name="Normal 105" xfId="1551"/>
    <cellStyle name="Normal 105 2" xfId="1552"/>
    <cellStyle name="Normal 106" xfId="1553"/>
    <cellStyle name="Normal 106 2" xfId="1554"/>
    <cellStyle name="Normal 107" xfId="1555"/>
    <cellStyle name="Normal 107 2" xfId="1556"/>
    <cellStyle name="Normal 108" xfId="1557"/>
    <cellStyle name="Normal 108 2" xfId="1558"/>
    <cellStyle name="Normal 109" xfId="1559"/>
    <cellStyle name="Normal 109 2" xfId="1560"/>
    <cellStyle name="Normal 11" xfId="1561"/>
    <cellStyle name="Normal 11 2" xfId="1562"/>
    <cellStyle name="Normal 110" xfId="1563"/>
    <cellStyle name="Normal 110 2" xfId="1564"/>
    <cellStyle name="Normal 111" xfId="1565"/>
    <cellStyle name="Normal 111 2" xfId="1566"/>
    <cellStyle name="Normal 112" xfId="1567"/>
    <cellStyle name="Normal 112 2" xfId="1568"/>
    <cellStyle name="Normal 113" xfId="1569"/>
    <cellStyle name="Normal 113 2" xfId="1570"/>
    <cellStyle name="Normal 114" xfId="1571"/>
    <cellStyle name="Normal 114 2" xfId="1572"/>
    <cellStyle name="Normal 115" xfId="1573"/>
    <cellStyle name="Normal 115 2" xfId="1574"/>
    <cellStyle name="Normal 116" xfId="1575"/>
    <cellStyle name="Normal 116 2" xfId="1576"/>
    <cellStyle name="Normal 117" xfId="1577"/>
    <cellStyle name="Normal 117 2" xfId="1578"/>
    <cellStyle name="Normal 118" xfId="1579"/>
    <cellStyle name="Normal 118 2" xfId="1580"/>
    <cellStyle name="Normal 119" xfId="1581"/>
    <cellStyle name="Normal 12" xfId="1582"/>
    <cellStyle name="Normal 12 2" xfId="1583"/>
    <cellStyle name="Normal 13" xfId="1584"/>
    <cellStyle name="Normal 13 2" xfId="1585"/>
    <cellStyle name="Normal 13 3" xfId="1586"/>
    <cellStyle name="Normal 14" xfId="1587"/>
    <cellStyle name="Normal 14 2" xfId="1588"/>
    <cellStyle name="Normal 15" xfId="1589"/>
    <cellStyle name="Normal 15 2" xfId="1590"/>
    <cellStyle name="Normal 16" xfId="1591"/>
    <cellStyle name="Normal 16 2" xfId="1592"/>
    <cellStyle name="Normal 17" xfId="1593"/>
    <cellStyle name="Normal 17 2" xfId="1594"/>
    <cellStyle name="Normal 18" xfId="1595"/>
    <cellStyle name="Normal 18 2" xfId="1596"/>
    <cellStyle name="Normal 19" xfId="1597"/>
    <cellStyle name="Normal 19 2" xfId="1598"/>
    <cellStyle name="Normal 2 10" xfId="1599"/>
    <cellStyle name="Normal 2 11" xfId="1600"/>
    <cellStyle name="Normal 2 12" xfId="1601"/>
    <cellStyle name="Normal 2 13" xfId="1602"/>
    <cellStyle name="Normal 2 14" xfId="1603"/>
    <cellStyle name="Normal 2 15" xfId="1604"/>
    <cellStyle name="Normal 2 16" xfId="1605"/>
    <cellStyle name="Normal 2 17" xfId="1606"/>
    <cellStyle name="Normal 2 18" xfId="1607"/>
    <cellStyle name="Normal 2 19" xfId="1608"/>
    <cellStyle name="Normal 2 2" xfId="1609"/>
    <cellStyle name="Normal 2 20" xfId="1610"/>
    <cellStyle name="Normal 2 21" xfId="1611"/>
    <cellStyle name="Normal 2 22" xfId="1612"/>
    <cellStyle name="Normal 2 3" xfId="1613"/>
    <cellStyle name="Normal 2 4" xfId="1614"/>
    <cellStyle name="Normal 2 5" xfId="1615"/>
    <cellStyle name="Normal 2 6" xfId="1616"/>
    <cellStyle name="Normal 2 7" xfId="1617"/>
    <cellStyle name="Normal 2 8" xfId="1618"/>
    <cellStyle name="Normal 2 9" xfId="1619"/>
    <cellStyle name="Normal 20" xfId="1620"/>
    <cellStyle name="Normal 20 2" xfId="1621"/>
    <cellStyle name="Normal 21" xfId="1622"/>
    <cellStyle name="Normal 21 2" xfId="1623"/>
    <cellStyle name="Normal 22" xfId="1624"/>
    <cellStyle name="Normal 22 2" xfId="1625"/>
    <cellStyle name="Normal 23" xfId="1626"/>
    <cellStyle name="Normal 23 2" xfId="1627"/>
    <cellStyle name="Normal 24" xfId="1628"/>
    <cellStyle name="Normal 24 2" xfId="1629"/>
    <cellStyle name="Normal 25" xfId="1630"/>
    <cellStyle name="Normal 25 2" xfId="1631"/>
    <cellStyle name="Normal 26" xfId="1632"/>
    <cellStyle name="Normal 26 2" xfId="1633"/>
    <cellStyle name="Normal 27" xfId="1634"/>
    <cellStyle name="Normal 27 2" xfId="1635"/>
    <cellStyle name="Normal 28" xfId="1636"/>
    <cellStyle name="Normal 28 2" xfId="1637"/>
    <cellStyle name="Normal 29" xfId="1638"/>
    <cellStyle name="Normal 29 2" xfId="1639"/>
    <cellStyle name="Normal 3" xfId="1640"/>
    <cellStyle name="Normal 3 2" xfId="1641"/>
    <cellStyle name="Normal 30" xfId="1642"/>
    <cellStyle name="Normal 30 2" xfId="1643"/>
    <cellStyle name="Normal 31" xfId="1644"/>
    <cellStyle name="Normal 31 2" xfId="1645"/>
    <cellStyle name="Normal 32" xfId="1646"/>
    <cellStyle name="Normal 32 2" xfId="1647"/>
    <cellStyle name="Normal 33" xfId="1648"/>
    <cellStyle name="Normal 33 2" xfId="1649"/>
    <cellStyle name="Normal 34" xfId="1650"/>
    <cellStyle name="Normal 34 2" xfId="1651"/>
    <cellStyle name="Normal 35" xfId="1652"/>
    <cellStyle name="Normal 35 2" xfId="1653"/>
    <cellStyle name="Normal 36" xfId="1654"/>
    <cellStyle name="Normal 36 2" xfId="1655"/>
    <cellStyle name="Normal 37" xfId="1656"/>
    <cellStyle name="Normal 37 2" xfId="1657"/>
    <cellStyle name="Normal 38" xfId="1658"/>
    <cellStyle name="Normal 38 2" xfId="1659"/>
    <cellStyle name="Normal 39" xfId="1660"/>
    <cellStyle name="Normal 39 2" xfId="1661"/>
    <cellStyle name="Normal 4" xfId="1662"/>
    <cellStyle name="Normal 4 2" xfId="1663"/>
    <cellStyle name="Normal 40" xfId="1664"/>
    <cellStyle name="Normal 40 2" xfId="1665"/>
    <cellStyle name="Normal 41" xfId="1666"/>
    <cellStyle name="Normal 41 2" xfId="1667"/>
    <cellStyle name="Normal 42" xfId="1668"/>
    <cellStyle name="Normal 42 2" xfId="1669"/>
    <cellStyle name="Normal 43" xfId="1670"/>
    <cellStyle name="Normal 43 2" xfId="1671"/>
    <cellStyle name="Normal 44" xfId="1672"/>
    <cellStyle name="Normal 44 2" xfId="1673"/>
    <cellStyle name="Normal 45" xfId="1674"/>
    <cellStyle name="Normal 45 2" xfId="1675"/>
    <cellStyle name="Normal 46" xfId="1676"/>
    <cellStyle name="Normal 46 2" xfId="1677"/>
    <cellStyle name="Normal 47" xfId="1678"/>
    <cellStyle name="Normal 47 2" xfId="1679"/>
    <cellStyle name="Normal 48" xfId="1680"/>
    <cellStyle name="Normal 48 2" xfId="1681"/>
    <cellStyle name="Normal 49" xfId="1682"/>
    <cellStyle name="Normal 49 2" xfId="1683"/>
    <cellStyle name="Normal 5" xfId="1684"/>
    <cellStyle name="Normal 5 2" xfId="1685"/>
    <cellStyle name="Normal 50" xfId="1686"/>
    <cellStyle name="Normal 50 2" xfId="1687"/>
    <cellStyle name="Normal 51" xfId="1688"/>
    <cellStyle name="Normal 51 2" xfId="1689"/>
    <cellStyle name="Normal 52" xfId="1690"/>
    <cellStyle name="Normal 52 2" xfId="1691"/>
    <cellStyle name="Normal 53" xfId="1692"/>
    <cellStyle name="Normal 53 2" xfId="1693"/>
    <cellStyle name="Normal 54" xfId="1694"/>
    <cellStyle name="Normal 54 2" xfId="1695"/>
    <cellStyle name="Normal 55" xfId="1696"/>
    <cellStyle name="Normal 55 2" xfId="1697"/>
    <cellStyle name="Normal 56" xfId="1698"/>
    <cellStyle name="Normal 56 2" xfId="1699"/>
    <cellStyle name="Normal 57" xfId="1700"/>
    <cellStyle name="Normal 57 2" xfId="1701"/>
    <cellStyle name="Normal 58" xfId="1702"/>
    <cellStyle name="Normal 58 2" xfId="1703"/>
    <cellStyle name="Normal 59" xfId="1704"/>
    <cellStyle name="Normal 59 2" xfId="1705"/>
    <cellStyle name="Normal 6" xfId="1706"/>
    <cellStyle name="Normal 6 2" xfId="1707"/>
    <cellStyle name="Normal 60" xfId="1708"/>
    <cellStyle name="Normal 60 2" xfId="1709"/>
    <cellStyle name="Normal 61" xfId="1710"/>
    <cellStyle name="Normal 61 2" xfId="1711"/>
    <cellStyle name="Normal 62" xfId="1712"/>
    <cellStyle name="Normal 62 2" xfId="1713"/>
    <cellStyle name="Normal 63" xfId="1714"/>
    <cellStyle name="Normal 63 2" xfId="1715"/>
    <cellStyle name="Normal 64" xfId="1716"/>
    <cellStyle name="Normal 64 2" xfId="1717"/>
    <cellStyle name="Normal 65" xfId="1718"/>
    <cellStyle name="Normal 65 2" xfId="1719"/>
    <cellStyle name="Normal 66" xfId="1720"/>
    <cellStyle name="Normal 66 2" xfId="1721"/>
    <cellStyle name="Normal 67" xfId="1722"/>
    <cellStyle name="Normal 67 2" xfId="1723"/>
    <cellStyle name="Normal 68" xfId="1724"/>
    <cellStyle name="Normal 68 2" xfId="1725"/>
    <cellStyle name="Normal 69" xfId="1726"/>
    <cellStyle name="Normal 69 2" xfId="1727"/>
    <cellStyle name="Normal 7" xfId="1728"/>
    <cellStyle name="Normal 7 2" xfId="1729"/>
    <cellStyle name="Normal 70" xfId="1730"/>
    <cellStyle name="Normal 70 2" xfId="1731"/>
    <cellStyle name="Normal 71" xfId="1732"/>
    <cellStyle name="Normal 71 2" xfId="1733"/>
    <cellStyle name="Normal 72" xfId="1734"/>
    <cellStyle name="Normal 72 2" xfId="1735"/>
    <cellStyle name="Normal 73" xfId="1736"/>
    <cellStyle name="Normal 73 2" xfId="1737"/>
    <cellStyle name="Normal 74" xfId="1738"/>
    <cellStyle name="Normal 74 2" xfId="1739"/>
    <cellStyle name="Normal 75" xfId="1740"/>
    <cellStyle name="Normal 75 2" xfId="1741"/>
    <cellStyle name="Normal 76" xfId="1742"/>
    <cellStyle name="Normal 76 2" xfId="1743"/>
    <cellStyle name="Normal 77" xfId="1744"/>
    <cellStyle name="Normal 77 2" xfId="1745"/>
    <cellStyle name="Normal 78" xfId="1746"/>
    <cellStyle name="Normal 78 2" xfId="1747"/>
    <cellStyle name="Normal 79" xfId="1748"/>
    <cellStyle name="Normal 79 2" xfId="1749"/>
    <cellStyle name="Normal 8" xfId="1750"/>
    <cellStyle name="Normal 8 2" xfId="1751"/>
    <cellStyle name="Normal 80" xfId="1752"/>
    <cellStyle name="Normal 80 2" xfId="1753"/>
    <cellStyle name="Normal 81" xfId="1754"/>
    <cellStyle name="Normal 81 2" xfId="1755"/>
    <cellStyle name="Normal 82" xfId="1756"/>
    <cellStyle name="Normal 82 2" xfId="1757"/>
    <cellStyle name="Normal 83" xfId="1758"/>
    <cellStyle name="Normal 83 2" xfId="1759"/>
    <cellStyle name="Normal 84" xfId="1760"/>
    <cellStyle name="Normal 84 2" xfId="1761"/>
    <cellStyle name="Normal 85" xfId="1762"/>
    <cellStyle name="Normal 85 2" xfId="1763"/>
    <cellStyle name="Normal 86" xfId="1764"/>
    <cellStyle name="Normal 86 2" xfId="1765"/>
    <cellStyle name="Normal 87" xfId="1766"/>
    <cellStyle name="Normal 87 2" xfId="1767"/>
    <cellStyle name="Normal 88" xfId="1768"/>
    <cellStyle name="Normal 88 2" xfId="1769"/>
    <cellStyle name="Normal 89" xfId="1770"/>
    <cellStyle name="Normal 89 2" xfId="1771"/>
    <cellStyle name="Normal 9" xfId="1772"/>
    <cellStyle name="Normal 9 2" xfId="1773"/>
    <cellStyle name="Normal 90" xfId="1774"/>
    <cellStyle name="Normal 90 2" xfId="1775"/>
    <cellStyle name="Normal 91" xfId="1776"/>
    <cellStyle name="Normal 91 2" xfId="1777"/>
    <cellStyle name="Normal 92" xfId="1778"/>
    <cellStyle name="Normal 92 2" xfId="1779"/>
    <cellStyle name="Normal 93" xfId="1780"/>
    <cellStyle name="Normal 93 2" xfId="1781"/>
    <cellStyle name="Normal 94" xfId="1782"/>
    <cellStyle name="Normal 94 2" xfId="1783"/>
    <cellStyle name="Normal 95" xfId="1784"/>
    <cellStyle name="Normal 95 2" xfId="1785"/>
    <cellStyle name="Normal 96" xfId="1786"/>
    <cellStyle name="Normal 96 2" xfId="1787"/>
    <cellStyle name="Normal 97" xfId="1788"/>
    <cellStyle name="Normal 97 2" xfId="1789"/>
    <cellStyle name="Normal 98" xfId="1790"/>
    <cellStyle name="Normal 98 2" xfId="1791"/>
    <cellStyle name="Normal 99" xfId="1792"/>
    <cellStyle name="Normal 99 2" xfId="1793"/>
    <cellStyle name="Note 2" xfId="1794"/>
    <cellStyle name="Note 2 10" xfId="1795"/>
    <cellStyle name="Note 2 11" xfId="1796"/>
    <cellStyle name="Note 2 12" xfId="1797"/>
    <cellStyle name="Note 2 13" xfId="1798"/>
    <cellStyle name="Note 2 14" xfId="1799"/>
    <cellStyle name="Note 2 15" xfId="1800"/>
    <cellStyle name="Note 2 16" xfId="1801"/>
    <cellStyle name="Note 2 17" xfId="1802"/>
    <cellStyle name="Note 2 18" xfId="1803"/>
    <cellStyle name="Note 2 19" xfId="1804"/>
    <cellStyle name="Note 2 2" xfId="1805"/>
    <cellStyle name="Note 2 20" xfId="1806"/>
    <cellStyle name="Note 2 21" xfId="1807"/>
    <cellStyle name="Note 2 22" xfId="1808"/>
    <cellStyle name="Note 2 23" xfId="1809"/>
    <cellStyle name="Note 2 24" xfId="1810"/>
    <cellStyle name="Note 2 25" xfId="1811"/>
    <cellStyle name="Note 2 26" xfId="1812"/>
    <cellStyle name="Note 2 27" xfId="1813"/>
    <cellStyle name="Note 2 28" xfId="1814"/>
    <cellStyle name="Note 2 29" xfId="1815"/>
    <cellStyle name="Note 2 3" xfId="1816"/>
    <cellStyle name="Note 2 30" xfId="1817"/>
    <cellStyle name="Note 2 31" xfId="1818"/>
    <cellStyle name="Note 2 32" xfId="1819"/>
    <cellStyle name="Note 2 33" xfId="1820"/>
    <cellStyle name="Note 2 34" xfId="1821"/>
    <cellStyle name="Note 2 35" xfId="1822"/>
    <cellStyle name="Note 2 36" xfId="1823"/>
    <cellStyle name="Note 2 37" xfId="1824"/>
    <cellStyle name="Note 2 38" xfId="1825"/>
    <cellStyle name="Note 2 39" xfId="1826"/>
    <cellStyle name="Note 2 4" xfId="1827"/>
    <cellStyle name="Note 2 40" xfId="1828"/>
    <cellStyle name="Note 2 41" xfId="1829"/>
    <cellStyle name="Note 2 42" xfId="1830"/>
    <cellStyle name="Note 2 43" xfId="1831"/>
    <cellStyle name="Note 2 44" xfId="1832"/>
    <cellStyle name="Note 2 45" xfId="1833"/>
    <cellStyle name="Note 2 46" xfId="1834"/>
    <cellStyle name="Note 2 47" xfId="1835"/>
    <cellStyle name="Note 2 48" xfId="1836"/>
    <cellStyle name="Note 2 49" xfId="1837"/>
    <cellStyle name="Note 2 5" xfId="1838"/>
    <cellStyle name="Note 2 6" xfId="1839"/>
    <cellStyle name="Note 2 7" xfId="1840"/>
    <cellStyle name="Note 2 8" xfId="1841"/>
    <cellStyle name="Note 2 9" xfId="1842"/>
    <cellStyle name="Output 2" xfId="1843"/>
    <cellStyle name="Output 2 10" xfId="1844"/>
    <cellStyle name="Output 2 11" xfId="1845"/>
    <cellStyle name="Output 2 12" xfId="1846"/>
    <cellStyle name="Output 2 13" xfId="1847"/>
    <cellStyle name="Output 2 14" xfId="1848"/>
    <cellStyle name="Output 2 15" xfId="1849"/>
    <cellStyle name="Output 2 16" xfId="1850"/>
    <cellStyle name="Output 2 17" xfId="1851"/>
    <cellStyle name="Output 2 18" xfId="1852"/>
    <cellStyle name="Output 2 19" xfId="1853"/>
    <cellStyle name="Output 2 2" xfId="1854"/>
    <cellStyle name="Output 2 20" xfId="1855"/>
    <cellStyle name="Output 2 21" xfId="1856"/>
    <cellStyle name="Output 2 22" xfId="1857"/>
    <cellStyle name="Output 2 23" xfId="1858"/>
    <cellStyle name="Output 2 24" xfId="1859"/>
    <cellStyle name="Output 2 25" xfId="1860"/>
    <cellStyle name="Output 2 26" xfId="1861"/>
    <cellStyle name="Output 2 27" xfId="1862"/>
    <cellStyle name="Output 2 28" xfId="1863"/>
    <cellStyle name="Output 2 29" xfId="1864"/>
    <cellStyle name="Output 2 3" xfId="1865"/>
    <cellStyle name="Output 2 30" xfId="1866"/>
    <cellStyle name="Output 2 31" xfId="1867"/>
    <cellStyle name="Output 2 32" xfId="1868"/>
    <cellStyle name="Output 2 33" xfId="1869"/>
    <cellStyle name="Output 2 34" xfId="1870"/>
    <cellStyle name="Output 2 35" xfId="1871"/>
    <cellStyle name="Output 2 36" xfId="1872"/>
    <cellStyle name="Output 2 37" xfId="1873"/>
    <cellStyle name="Output 2 38" xfId="1874"/>
    <cellStyle name="Output 2 39" xfId="1875"/>
    <cellStyle name="Output 2 4" xfId="1876"/>
    <cellStyle name="Output 2 40" xfId="1877"/>
    <cellStyle name="Output 2 41" xfId="1878"/>
    <cellStyle name="Output 2 42" xfId="1879"/>
    <cellStyle name="Output 2 43" xfId="1880"/>
    <cellStyle name="Output 2 44" xfId="1881"/>
    <cellStyle name="Output 2 45" xfId="1882"/>
    <cellStyle name="Output 2 46" xfId="1883"/>
    <cellStyle name="Output 2 47" xfId="1884"/>
    <cellStyle name="Output 2 48" xfId="1885"/>
    <cellStyle name="Output 2 49" xfId="1886"/>
    <cellStyle name="Output 2 5" xfId="1887"/>
    <cellStyle name="Output 2 6" xfId="1888"/>
    <cellStyle name="Output 2 7" xfId="1889"/>
    <cellStyle name="Output 2 8" xfId="1890"/>
    <cellStyle name="Output 2 9" xfId="1891"/>
    <cellStyle name="Standard_2006-UK" xfId="1892"/>
    <cellStyle name="Title 2" xfId="1893"/>
    <cellStyle name="Title 2 10" xfId="1894"/>
    <cellStyle name="Title 2 11" xfId="1895"/>
    <cellStyle name="Title 2 12" xfId="1896"/>
    <cellStyle name="Title 2 13" xfId="1897"/>
    <cellStyle name="Title 2 14" xfId="1898"/>
    <cellStyle name="Title 2 15" xfId="1899"/>
    <cellStyle name="Title 2 16" xfId="1900"/>
    <cellStyle name="Title 2 17" xfId="1901"/>
    <cellStyle name="Title 2 18" xfId="1902"/>
    <cellStyle name="Title 2 19" xfId="1903"/>
    <cellStyle name="Title 2 2" xfId="1904"/>
    <cellStyle name="Title 2 20" xfId="1905"/>
    <cellStyle name="Title 2 21" xfId="1906"/>
    <cellStyle name="Title 2 22" xfId="1907"/>
    <cellStyle name="Title 2 23" xfId="1908"/>
    <cellStyle name="Title 2 24" xfId="1909"/>
    <cellStyle name="Title 2 25" xfId="1910"/>
    <cellStyle name="Title 2 26" xfId="1911"/>
    <cellStyle name="Title 2 27" xfId="1912"/>
    <cellStyle name="Title 2 28" xfId="1913"/>
    <cellStyle name="Title 2 29" xfId="1914"/>
    <cellStyle name="Title 2 3" xfId="1915"/>
    <cellStyle name="Title 2 30" xfId="1916"/>
    <cellStyle name="Title 2 31" xfId="1917"/>
    <cellStyle name="Title 2 32" xfId="1918"/>
    <cellStyle name="Title 2 33" xfId="1919"/>
    <cellStyle name="Title 2 34" xfId="1920"/>
    <cellStyle name="Title 2 35" xfId="1921"/>
    <cellStyle name="Title 2 36" xfId="1922"/>
    <cellStyle name="Title 2 37" xfId="1923"/>
    <cellStyle name="Title 2 38" xfId="1924"/>
    <cellStyle name="Title 2 39" xfId="1925"/>
    <cellStyle name="Title 2 4" xfId="1926"/>
    <cellStyle name="Title 2 40" xfId="1927"/>
    <cellStyle name="Title 2 41" xfId="1928"/>
    <cellStyle name="Title 2 42" xfId="1929"/>
    <cellStyle name="Title 2 43" xfId="1930"/>
    <cellStyle name="Title 2 44" xfId="1931"/>
    <cellStyle name="Title 2 45" xfId="1932"/>
    <cellStyle name="Title 2 46" xfId="1933"/>
    <cellStyle name="Title 2 47" xfId="1934"/>
    <cellStyle name="Title 2 48" xfId="1935"/>
    <cellStyle name="Title 2 49" xfId="1936"/>
    <cellStyle name="Title 2 49 2" xfId="1937"/>
    <cellStyle name="Title 2 5" xfId="1938"/>
    <cellStyle name="Title 2 50" xfId="1939"/>
    <cellStyle name="Title 2 50 2" xfId="1940"/>
    <cellStyle name="Title 2 6" xfId="1941"/>
    <cellStyle name="Title 2 7" xfId="1942"/>
    <cellStyle name="Title 2 8" xfId="1943"/>
    <cellStyle name="Title 2 9" xfId="1944"/>
    <cellStyle name="Total 2" xfId="1945"/>
    <cellStyle name="Total 2 10" xfId="1946"/>
    <cellStyle name="Total 2 11" xfId="1947"/>
    <cellStyle name="Total 2 12" xfId="1948"/>
    <cellStyle name="Total 2 13" xfId="1949"/>
    <cellStyle name="Total 2 14" xfId="1950"/>
    <cellStyle name="Total 2 15" xfId="1951"/>
    <cellStyle name="Total 2 16" xfId="1952"/>
    <cellStyle name="Total 2 17" xfId="1953"/>
    <cellStyle name="Total 2 18" xfId="1954"/>
    <cellStyle name="Total 2 19" xfId="1955"/>
    <cellStyle name="Total 2 2" xfId="1956"/>
    <cellStyle name="Total 2 20" xfId="1957"/>
    <cellStyle name="Total 2 21" xfId="1958"/>
    <cellStyle name="Total 2 22" xfId="1959"/>
    <cellStyle name="Total 2 23" xfId="1960"/>
    <cellStyle name="Total 2 24" xfId="1961"/>
    <cellStyle name="Total 2 25" xfId="1962"/>
    <cellStyle name="Total 2 26" xfId="1963"/>
    <cellStyle name="Total 2 27" xfId="1964"/>
    <cellStyle name="Total 2 28" xfId="1965"/>
    <cellStyle name="Total 2 29" xfId="1966"/>
    <cellStyle name="Total 2 3" xfId="1967"/>
    <cellStyle name="Total 2 30" xfId="1968"/>
    <cellStyle name="Total 2 31" xfId="1969"/>
    <cellStyle name="Total 2 32" xfId="1970"/>
    <cellStyle name="Total 2 33" xfId="1971"/>
    <cellStyle name="Total 2 34" xfId="1972"/>
    <cellStyle name="Total 2 35" xfId="1973"/>
    <cellStyle name="Total 2 36" xfId="1974"/>
    <cellStyle name="Total 2 37" xfId="1975"/>
    <cellStyle name="Total 2 38" xfId="1976"/>
    <cellStyle name="Total 2 39" xfId="1977"/>
    <cellStyle name="Total 2 4" xfId="1978"/>
    <cellStyle name="Total 2 40" xfId="1979"/>
    <cellStyle name="Total 2 41" xfId="1980"/>
    <cellStyle name="Total 2 42" xfId="1981"/>
    <cellStyle name="Total 2 43" xfId="1982"/>
    <cellStyle name="Total 2 44" xfId="1983"/>
    <cellStyle name="Total 2 45" xfId="1984"/>
    <cellStyle name="Total 2 46" xfId="1985"/>
    <cellStyle name="Total 2 47" xfId="1986"/>
    <cellStyle name="Total 2 48" xfId="1987"/>
    <cellStyle name="Total 2 49" xfId="1988"/>
    <cellStyle name="Total 2 5" xfId="1989"/>
    <cellStyle name="Total 2 6" xfId="1990"/>
    <cellStyle name="Total 2 7" xfId="1991"/>
    <cellStyle name="Total 2 8" xfId="1992"/>
    <cellStyle name="Total 2 9" xfId="1993"/>
    <cellStyle name="Warning Text" xfId="1994" builtinId="11" customBuiltin="1"/>
  </cellStyles>
  <dxfs count="1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dmt\RLDLwork\2009\herbage\irg_hrg\irgy2d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1P1"/>
      <sheetName val="M1P2"/>
      <sheetName val="M1P3"/>
      <sheetName val="M1P4"/>
      <sheetName val="M1P5"/>
      <sheetName val="M2P1"/>
      <sheetName val="M2P2"/>
      <sheetName val="M2P3"/>
      <sheetName val="M2P4"/>
      <sheetName val="M2P5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3">
          <cell r="I63">
            <v>7.1369999999999996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ryony Ennis" id="{E7DE181A-157B-4572-84F0-497F4C455404}" userId="S::bryony.ennis@ahdb.org.uk::490cd08d-aa5d-4cc3-8857-c5e859ae220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3" dT="2021-03-16T10:27:57.17" personId="{E7DE181A-157B-4572-84F0-497F4C455404}" id="{A94D98FB-B2F3-45A9-A49B-895C9EBF1111}">
    <text>under appeal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3" dT="2021-03-16T09:19:24.86" personId="{E7DE181A-157B-4572-84F0-497F4C455404}" id="{AF8DC271-0F52-4A7D-BF99-BDF17932FFAA}">
    <text>name to be confirmed by breeder - to double check at next draft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60"/>
  <sheetViews>
    <sheetView zoomScale="80" zoomScaleNormal="80" workbookViewId="0">
      <selection activeCell="H43" sqref="H43"/>
    </sheetView>
  </sheetViews>
  <sheetFormatPr defaultColWidth="9.140625" defaultRowHeight="12.75" x14ac:dyDescent="0.2"/>
  <cols>
    <col min="1" max="1" width="45.5703125" style="6" customWidth="1"/>
    <col min="2" max="2" width="10.5703125" style="95" customWidth="1"/>
    <col min="3" max="3" width="9.28515625" style="95" customWidth="1"/>
    <col min="4" max="4" width="10.7109375" style="95" customWidth="1"/>
    <col min="5" max="7" width="10.28515625" style="95" customWidth="1"/>
    <col min="8" max="8" width="9.28515625" style="95" customWidth="1"/>
    <col min="9" max="9" width="10.28515625" style="95" customWidth="1"/>
    <col min="10" max="10" width="10.28515625" style="104" customWidth="1"/>
    <col min="11" max="11" width="6.28515625" style="6" customWidth="1"/>
    <col min="12" max="14" width="9.140625" style="640"/>
    <col min="15" max="23" width="9.140625" style="45"/>
    <col min="24" max="16384" width="9.140625" style="6"/>
  </cols>
  <sheetData>
    <row r="1" spans="1:23" ht="15" x14ac:dyDescent="0.25">
      <c r="A1" s="41" t="s">
        <v>232</v>
      </c>
      <c r="B1" s="97"/>
      <c r="C1" s="97"/>
      <c r="D1" s="3"/>
      <c r="E1" s="3"/>
      <c r="F1" s="3"/>
      <c r="G1" s="3"/>
      <c r="H1" s="97"/>
      <c r="I1" s="649"/>
      <c r="J1" s="650"/>
      <c r="K1" s="650"/>
      <c r="L1" s="639"/>
    </row>
    <row r="2" spans="1:23" ht="15" customHeight="1" thickBot="1" x14ac:dyDescent="0.3">
      <c r="A2" s="42"/>
      <c r="B2" s="97"/>
      <c r="C2" s="97"/>
      <c r="D2" s="3"/>
      <c r="E2" s="3"/>
      <c r="F2" s="3"/>
      <c r="G2" s="3"/>
      <c r="H2" s="97"/>
      <c r="I2" s="3"/>
      <c r="J2" s="3"/>
      <c r="K2" s="3"/>
    </row>
    <row r="3" spans="1:23" ht="15.6" customHeight="1" thickBot="1" x14ac:dyDescent="0.3">
      <c r="A3" s="151"/>
      <c r="B3" s="152"/>
      <c r="C3" s="153"/>
      <c r="D3" s="1324" t="s">
        <v>23</v>
      </c>
      <c r="E3" s="1324"/>
      <c r="F3" s="1324"/>
      <c r="G3" s="1325"/>
      <c r="H3" s="153"/>
      <c r="I3" s="1326" t="s">
        <v>24</v>
      </c>
      <c r="J3" s="1327"/>
      <c r="K3" s="995"/>
    </row>
    <row r="4" spans="1:23" ht="91.15" customHeight="1" x14ac:dyDescent="0.2">
      <c r="A4" s="154"/>
      <c r="B4" s="155" t="s">
        <v>404</v>
      </c>
      <c r="C4" s="50" t="s">
        <v>282</v>
      </c>
      <c r="D4" s="21" t="s">
        <v>58</v>
      </c>
      <c r="E4" s="20" t="s">
        <v>59</v>
      </c>
      <c r="F4" s="611" t="s">
        <v>107</v>
      </c>
      <c r="G4" s="20" t="s">
        <v>109</v>
      </c>
      <c r="H4" s="50" t="s">
        <v>283</v>
      </c>
      <c r="I4" s="750" t="s">
        <v>174</v>
      </c>
      <c r="J4" s="992" t="s">
        <v>175</v>
      </c>
      <c r="K4" s="893"/>
    </row>
    <row r="5" spans="1:23" ht="17.25" customHeight="1" x14ac:dyDescent="0.2">
      <c r="A5" s="43" t="s">
        <v>26</v>
      </c>
      <c r="B5" s="52" t="s">
        <v>5</v>
      </c>
      <c r="C5" s="52" t="s">
        <v>5</v>
      </c>
      <c r="D5" s="23" t="s">
        <v>1</v>
      </c>
      <c r="E5" s="23" t="s">
        <v>1</v>
      </c>
      <c r="F5" s="556" t="s">
        <v>2</v>
      </c>
      <c r="G5" s="556" t="s">
        <v>2</v>
      </c>
      <c r="H5" s="52" t="s">
        <v>5</v>
      </c>
      <c r="I5" s="673" t="s">
        <v>1</v>
      </c>
      <c r="J5" s="993" t="s">
        <v>3</v>
      </c>
      <c r="K5" s="893"/>
    </row>
    <row r="6" spans="1:23" ht="17.25" customHeight="1" x14ac:dyDescent="0.2">
      <c r="A6" s="858" t="s">
        <v>11</v>
      </c>
      <c r="B6" s="859" t="s">
        <v>5</v>
      </c>
      <c r="C6" s="859" t="s">
        <v>5</v>
      </c>
      <c r="D6" s="46">
        <v>131.643</v>
      </c>
      <c r="E6" s="24">
        <v>134.083</v>
      </c>
      <c r="F6" s="24">
        <v>137.661</v>
      </c>
      <c r="G6" s="26">
        <v>139.65600000000001</v>
      </c>
      <c r="H6" s="29" t="s">
        <v>5</v>
      </c>
      <c r="I6" s="868">
        <v>129.91300000000001</v>
      </c>
      <c r="J6" s="978">
        <v>138.28399999999999</v>
      </c>
      <c r="K6" s="893"/>
    </row>
    <row r="7" spans="1:23" s="25" customFormat="1" ht="16.5" customHeight="1" x14ac:dyDescent="0.2">
      <c r="A7" s="860" t="s">
        <v>13</v>
      </c>
      <c r="B7" s="861"/>
      <c r="C7" s="861"/>
      <c r="D7" s="862"/>
      <c r="E7" s="862"/>
      <c r="F7" s="862"/>
      <c r="G7" s="863"/>
      <c r="H7" s="861"/>
      <c r="I7" s="867"/>
      <c r="J7" s="534"/>
      <c r="K7" s="473"/>
      <c r="L7" s="641"/>
      <c r="M7" s="641"/>
      <c r="N7" s="641"/>
      <c r="O7" s="215"/>
      <c r="P7" s="215"/>
      <c r="Q7" s="215"/>
      <c r="R7" s="215"/>
      <c r="S7" s="215"/>
      <c r="T7" s="215"/>
      <c r="U7" s="215"/>
      <c r="V7" s="215"/>
      <c r="W7" s="215"/>
    </row>
    <row r="8" spans="1:23" s="25" customFormat="1" ht="16.5" customHeight="1" x14ac:dyDescent="0.2">
      <c r="A8" s="685" t="s">
        <v>278</v>
      </c>
      <c r="B8" s="1011">
        <v>100</v>
      </c>
      <c r="C8" s="1012">
        <v>99.816406906209806</v>
      </c>
      <c r="D8" s="1013">
        <v>98.371986004260521</v>
      </c>
      <c r="E8" s="1013">
        <v>101.26082780815911</v>
      </c>
      <c r="F8" s="1062">
        <v>97.087256954986643</v>
      </c>
      <c r="G8" s="1063">
        <v>98.939541335568236</v>
      </c>
      <c r="H8" s="431">
        <v>99.650930756017999</v>
      </c>
      <c r="I8" s="870">
        <v>97.134508550471381</v>
      </c>
      <c r="J8" s="1064">
        <v>95.535265978047903</v>
      </c>
      <c r="K8" s="473"/>
      <c r="L8" s="642"/>
      <c r="M8" s="641"/>
      <c r="N8" s="641"/>
      <c r="O8" s="215"/>
      <c r="P8" s="215"/>
      <c r="Q8" s="215"/>
      <c r="R8" s="215"/>
      <c r="S8" s="215"/>
      <c r="T8" s="215"/>
      <c r="U8" s="215"/>
      <c r="V8" s="215"/>
      <c r="W8" s="215"/>
    </row>
    <row r="9" spans="1:23" s="25" customFormat="1" ht="16.5" customHeight="1" x14ac:dyDescent="0.2">
      <c r="A9" s="758" t="s">
        <v>227</v>
      </c>
      <c r="B9" s="1014">
        <f>65+12.0302135418471</f>
        <v>77.030213541847104</v>
      </c>
      <c r="C9" s="1015">
        <f>65+11.2716458196089</f>
        <v>76.271645819608892</v>
      </c>
      <c r="D9" s="1016">
        <f>65+11.4301580749457</f>
        <v>76.430158074945695</v>
      </c>
      <c r="E9" s="1016">
        <f>65+11.1131335642722</f>
        <v>76.113133564272204</v>
      </c>
      <c r="F9" s="1065">
        <f>65+11.7765274091002</f>
        <v>76.776527409100197</v>
      </c>
      <c r="G9" s="1066">
        <f>65+12.1495143489947</f>
        <v>77.1495143489947</v>
      </c>
      <c r="H9" s="434">
        <f>65+11.8611746818935</f>
        <v>76.861174681893502</v>
      </c>
      <c r="I9" s="1067">
        <f>65+11.9192849835593</f>
        <v>76.919284983559294</v>
      </c>
      <c r="J9" s="1068">
        <f>65+12.2016696464823</f>
        <v>77.201669646482301</v>
      </c>
      <c r="K9" s="473"/>
      <c r="L9" s="642"/>
      <c r="M9" s="641"/>
      <c r="N9" s="641"/>
      <c r="O9" s="215"/>
      <c r="P9" s="215"/>
      <c r="Q9" s="215"/>
      <c r="R9" s="215"/>
      <c r="S9" s="215"/>
      <c r="T9" s="215"/>
      <c r="U9" s="215"/>
      <c r="V9" s="215"/>
      <c r="W9" s="215"/>
    </row>
    <row r="10" spans="1:23" s="25" customFormat="1" ht="16.5" customHeight="1" x14ac:dyDescent="0.2">
      <c r="A10" s="688" t="s">
        <v>289</v>
      </c>
      <c r="B10" s="1018">
        <v>100</v>
      </c>
      <c r="C10" s="1019">
        <v>99.29564115410173</v>
      </c>
      <c r="D10" s="1020">
        <v>97.997888341546982</v>
      </c>
      <c r="E10" s="1020">
        <v>100.59339396665645</v>
      </c>
      <c r="F10" s="981">
        <v>97.086514165466767</v>
      </c>
      <c r="G10" s="764">
        <v>99.326076609535221</v>
      </c>
      <c r="H10" s="310">
        <v>99.84147917962683</v>
      </c>
      <c r="I10" s="1069">
        <v>97.349517624580457</v>
      </c>
      <c r="J10" s="763">
        <v>95.601467863448008</v>
      </c>
      <c r="K10" s="473"/>
      <c r="L10" s="642"/>
      <c r="M10" s="641"/>
      <c r="N10" s="641"/>
      <c r="O10" s="215"/>
      <c r="P10" s="215"/>
      <c r="Q10" s="215"/>
      <c r="R10" s="215"/>
      <c r="S10" s="215"/>
      <c r="T10" s="215"/>
      <c r="U10" s="215"/>
      <c r="V10" s="215"/>
      <c r="W10" s="215"/>
    </row>
    <row r="11" spans="1:23" s="25" customFormat="1" ht="16.5" customHeight="1" x14ac:dyDescent="0.2">
      <c r="A11" s="427" t="s">
        <v>14</v>
      </c>
      <c r="B11" s="1021"/>
      <c r="C11" s="1022"/>
      <c r="D11" s="1023"/>
      <c r="E11" s="1023"/>
      <c r="F11" s="429"/>
      <c r="G11" s="429"/>
      <c r="H11" s="428"/>
      <c r="I11" s="429"/>
      <c r="J11" s="429"/>
      <c r="K11" s="473"/>
      <c r="L11" s="642"/>
      <c r="M11" s="641"/>
      <c r="N11" s="641"/>
      <c r="O11" s="215"/>
      <c r="P11" s="215"/>
      <c r="Q11" s="215"/>
      <c r="R11" s="215"/>
      <c r="S11" s="215"/>
      <c r="T11" s="215"/>
      <c r="U11" s="215"/>
      <c r="V11" s="215"/>
      <c r="W11" s="215"/>
    </row>
    <row r="12" spans="1:23" s="25" customFormat="1" ht="16.5" customHeight="1" x14ac:dyDescent="0.2">
      <c r="A12" s="686" t="s">
        <v>270</v>
      </c>
      <c r="B12" s="1024">
        <v>100</v>
      </c>
      <c r="C12" s="1025">
        <v>105.88704628061235</v>
      </c>
      <c r="D12" s="1026">
        <v>105.77992801087029</v>
      </c>
      <c r="E12" s="1026">
        <v>105.9877943242567</v>
      </c>
      <c r="F12" s="1070">
        <v>98.875169217802039</v>
      </c>
      <c r="G12" s="1071">
        <v>103.43889810770398</v>
      </c>
      <c r="H12" s="442">
        <v>103.43520902669708</v>
      </c>
      <c r="I12" s="870">
        <v>103.30190502617775</v>
      </c>
      <c r="J12" s="1072">
        <v>100.96866772592112</v>
      </c>
      <c r="K12" s="473"/>
      <c r="L12" s="642"/>
      <c r="M12" s="641"/>
      <c r="N12" s="641"/>
      <c r="O12" s="215"/>
      <c r="P12" s="215"/>
      <c r="Q12" s="215"/>
      <c r="R12" s="215"/>
      <c r="S12" s="215"/>
      <c r="T12" s="215"/>
      <c r="U12" s="215"/>
      <c r="V12" s="215"/>
      <c r="W12" s="215"/>
    </row>
    <row r="13" spans="1:23" s="25" customFormat="1" ht="27.75" customHeight="1" x14ac:dyDescent="0.2">
      <c r="A13" s="734" t="s">
        <v>281</v>
      </c>
      <c r="B13" s="1027">
        <v>100</v>
      </c>
      <c r="C13" s="1019">
        <v>100.21221322763643</v>
      </c>
      <c r="D13" s="1020">
        <v>100.57899689761524</v>
      </c>
      <c r="E13" s="1020">
        <v>99.816854753828082</v>
      </c>
      <c r="F13" s="981">
        <v>93.483084667900499</v>
      </c>
      <c r="G13" s="764">
        <v>99.086405190854947</v>
      </c>
      <c r="H13" s="310">
        <v>99.463612215221289</v>
      </c>
      <c r="I13" s="1069">
        <v>100.29284216878639</v>
      </c>
      <c r="J13" s="763">
        <v>98.14638720732809</v>
      </c>
      <c r="K13" s="473"/>
      <c r="L13" s="644"/>
      <c r="M13" s="641"/>
      <c r="N13" s="641"/>
      <c r="O13" s="215"/>
      <c r="P13" s="215"/>
      <c r="Q13" s="215"/>
      <c r="R13" s="215"/>
      <c r="S13" s="215"/>
      <c r="T13" s="215"/>
      <c r="U13" s="215"/>
      <c r="V13" s="215"/>
      <c r="W13" s="215"/>
    </row>
    <row r="14" spans="1:23" s="25" customFormat="1" ht="16.5" customHeight="1" x14ac:dyDescent="0.2">
      <c r="A14" s="686" t="s">
        <v>271</v>
      </c>
      <c r="B14" s="1024">
        <v>100</v>
      </c>
      <c r="C14" s="1028">
        <v>101.2839341433712</v>
      </c>
      <c r="D14" s="1029">
        <v>101.54905516188566</v>
      </c>
      <c r="E14" s="1029">
        <v>100.99588865931436</v>
      </c>
      <c r="F14" s="1073">
        <v>97.818372391305473</v>
      </c>
      <c r="G14" s="1074">
        <v>99.370160097885957</v>
      </c>
      <c r="H14" s="444">
        <v>98.172561266058196</v>
      </c>
      <c r="I14" s="1075">
        <v>99.156343457971204</v>
      </c>
      <c r="J14" s="1076">
        <v>98.120724038619997</v>
      </c>
      <c r="K14" s="473"/>
      <c r="L14" s="642"/>
      <c r="M14" s="641"/>
      <c r="N14" s="641"/>
      <c r="O14" s="215"/>
      <c r="P14" s="215"/>
      <c r="Q14" s="215"/>
      <c r="R14" s="215"/>
      <c r="S14" s="215"/>
      <c r="T14" s="215"/>
      <c r="U14" s="215"/>
      <c r="V14" s="215"/>
      <c r="W14" s="215"/>
    </row>
    <row r="15" spans="1:23" s="25" customFormat="1" ht="16.5" customHeight="1" x14ac:dyDescent="0.2">
      <c r="A15" s="736" t="s">
        <v>284</v>
      </c>
      <c r="B15" s="1030">
        <v>100</v>
      </c>
      <c r="C15" s="1031">
        <v>103.87902631077948</v>
      </c>
      <c r="D15" s="1029">
        <v>103.96669678987689</v>
      </c>
      <c r="E15" s="1029">
        <v>103.79135583168207</v>
      </c>
      <c r="F15" s="1073">
        <v>98.428062868130411</v>
      </c>
      <c r="G15" s="1074">
        <v>101.81140290377678</v>
      </c>
      <c r="H15" s="448">
        <v>101.26565780453683</v>
      </c>
      <c r="I15" s="1075">
        <v>101.39718754889367</v>
      </c>
      <c r="J15" s="1074">
        <v>99.748120431363503</v>
      </c>
      <c r="K15" s="473"/>
      <c r="L15" s="642"/>
      <c r="M15" s="641"/>
      <c r="N15" s="641"/>
      <c r="O15" s="215"/>
      <c r="P15" s="215"/>
      <c r="Q15" s="215"/>
      <c r="R15" s="215"/>
      <c r="S15" s="215"/>
      <c r="T15" s="215"/>
      <c r="U15" s="215"/>
      <c r="V15" s="215"/>
      <c r="W15" s="215"/>
    </row>
    <row r="16" spans="1:23" s="25" customFormat="1" ht="16.5" customHeight="1" x14ac:dyDescent="0.2">
      <c r="A16" s="455" t="s">
        <v>15</v>
      </c>
      <c r="B16" s="1032"/>
      <c r="C16" s="1033"/>
      <c r="D16" s="1034"/>
      <c r="E16" s="1034"/>
      <c r="F16" s="1077"/>
      <c r="G16" s="1077"/>
      <c r="H16" s="457"/>
      <c r="I16" s="1077"/>
      <c r="J16" s="1077"/>
      <c r="K16" s="473"/>
      <c r="L16" s="642"/>
      <c r="M16" s="641"/>
      <c r="N16" s="641"/>
      <c r="O16" s="215"/>
      <c r="P16" s="215"/>
      <c r="Q16" s="215"/>
      <c r="R16" s="215"/>
      <c r="S16" s="215"/>
      <c r="T16" s="215"/>
      <c r="U16" s="215"/>
      <c r="V16" s="215"/>
      <c r="W16" s="215"/>
    </row>
    <row r="17" spans="1:31" s="185" customFormat="1" ht="16.5" customHeight="1" x14ac:dyDescent="0.2">
      <c r="A17" s="302" t="s">
        <v>285</v>
      </c>
      <c r="B17" s="1030">
        <v>65.91005350585236</v>
      </c>
      <c r="C17" s="1028">
        <v>67.818736190160109</v>
      </c>
      <c r="D17" s="1029">
        <v>68.073190782071876</v>
      </c>
      <c r="E17" s="1029">
        <v>67.564281598248328</v>
      </c>
      <c r="F17" s="1073">
        <v>67.639057109396234</v>
      </c>
      <c r="G17" s="1074">
        <v>65.389194532914416</v>
      </c>
      <c r="H17" s="444">
        <v>67.793934916014905</v>
      </c>
      <c r="I17" s="1075">
        <v>67.523888086301156</v>
      </c>
      <c r="J17" s="1076">
        <v>63.635684468328449</v>
      </c>
      <c r="K17" s="473"/>
      <c r="L17" s="642"/>
      <c r="M17" s="641"/>
      <c r="N17" s="641"/>
      <c r="O17" s="215"/>
      <c r="P17" s="215"/>
      <c r="Q17" s="215"/>
      <c r="R17" s="215"/>
      <c r="S17" s="215"/>
      <c r="T17" s="215"/>
      <c r="U17" s="215"/>
      <c r="V17" s="215"/>
      <c r="W17" s="215"/>
      <c r="X17" s="25"/>
      <c r="Y17" s="25"/>
      <c r="Z17" s="25"/>
      <c r="AA17" s="25"/>
      <c r="AB17" s="25"/>
      <c r="AC17" s="25"/>
      <c r="AD17" s="25"/>
    </row>
    <row r="18" spans="1:31" s="184" customFormat="1" ht="16.5" customHeight="1" x14ac:dyDescent="0.2">
      <c r="A18" s="302" t="s">
        <v>286</v>
      </c>
      <c r="B18" s="1024">
        <v>63.401387231506412</v>
      </c>
      <c r="C18" s="1025">
        <v>68.817052205101675</v>
      </c>
      <c r="D18" s="1035">
        <v>68.849959110170943</v>
      </c>
      <c r="E18" s="1035">
        <v>68.784602500124166</v>
      </c>
      <c r="F18" s="1078">
        <v>69.463705841334075</v>
      </c>
      <c r="G18" s="1079">
        <v>67.622711067812915</v>
      </c>
      <c r="H18" s="442">
        <v>65.218281066907551</v>
      </c>
      <c r="I18" s="125">
        <v>65.358402392359167</v>
      </c>
      <c r="J18" s="1080">
        <v>64.159205458202067</v>
      </c>
      <c r="K18" s="473"/>
      <c r="L18" s="642"/>
      <c r="M18" s="641"/>
      <c r="N18" s="641"/>
      <c r="O18" s="215"/>
      <c r="P18" s="215"/>
      <c r="Q18" s="215"/>
      <c r="R18" s="215"/>
      <c r="S18" s="215"/>
      <c r="T18" s="215"/>
      <c r="U18" s="215"/>
      <c r="V18" s="215"/>
      <c r="W18" s="215"/>
      <c r="X18" s="25"/>
      <c r="Y18" s="25"/>
      <c r="Z18" s="25"/>
      <c r="AA18" s="25"/>
      <c r="AB18" s="25"/>
      <c r="AC18" s="25"/>
      <c r="AD18" s="25"/>
    </row>
    <row r="19" spans="1:31" s="25" customFormat="1" ht="16.5" customHeight="1" x14ac:dyDescent="0.2">
      <c r="A19" s="413" t="s">
        <v>287</v>
      </c>
      <c r="B19" s="1036">
        <v>6.2722341348322281</v>
      </c>
      <c r="C19" s="1037">
        <v>6.8322571455954648</v>
      </c>
      <c r="D19" s="1038">
        <v>6.8525629945916497</v>
      </c>
      <c r="E19" s="1038">
        <v>6.8119512965992755</v>
      </c>
      <c r="F19" s="1081">
        <v>6.8532739441988539</v>
      </c>
      <c r="G19" s="1082">
        <v>6.5269266836055149</v>
      </c>
      <c r="H19" s="857">
        <v>6.5717271933277166</v>
      </c>
      <c r="I19" s="1083">
        <v>6.553450482246344</v>
      </c>
      <c r="J19" s="1084">
        <v>6.1511552468244819</v>
      </c>
      <c r="K19" s="473"/>
      <c r="L19" s="642"/>
      <c r="M19" s="641"/>
      <c r="N19" s="641"/>
      <c r="O19" s="215"/>
      <c r="P19" s="215"/>
      <c r="Q19" s="215"/>
      <c r="R19" s="215"/>
      <c r="S19" s="215"/>
      <c r="T19" s="215"/>
      <c r="U19" s="215"/>
      <c r="V19" s="215"/>
      <c r="W19" s="215"/>
    </row>
    <row r="20" spans="1:31" s="185" customFormat="1" ht="16.5" customHeight="1" x14ac:dyDescent="0.2">
      <c r="A20" s="437" t="s">
        <v>12</v>
      </c>
      <c r="B20" s="1039"/>
      <c r="C20" s="1040"/>
      <c r="D20" s="1041"/>
      <c r="E20" s="1042"/>
      <c r="F20" s="1085"/>
      <c r="G20" s="1085"/>
      <c r="H20" s="247"/>
      <c r="I20" s="1085"/>
      <c r="J20" s="1085"/>
      <c r="K20" s="473"/>
      <c r="L20" s="642"/>
      <c r="M20" s="643"/>
      <c r="N20" s="643"/>
      <c r="O20" s="215"/>
      <c r="P20" s="215"/>
      <c r="Q20" s="215"/>
      <c r="R20" s="215"/>
      <c r="S20" s="215"/>
      <c r="T20" s="215"/>
      <c r="U20" s="215"/>
      <c r="V20" s="215"/>
      <c r="W20" s="215"/>
      <c r="X20" s="25"/>
      <c r="Y20" s="25"/>
      <c r="Z20" s="25"/>
      <c r="AA20" s="25"/>
      <c r="AB20" s="25"/>
      <c r="AC20" s="25"/>
      <c r="AD20" s="25"/>
    </row>
    <row r="21" spans="1:31" s="25" customFormat="1" ht="16.5" customHeight="1" x14ac:dyDescent="0.2">
      <c r="A21" s="685" t="s">
        <v>272</v>
      </c>
      <c r="B21" s="1011">
        <v>100</v>
      </c>
      <c r="C21" s="1012">
        <v>130.27090371303711</v>
      </c>
      <c r="D21" s="1013">
        <v>132.24933361919216</v>
      </c>
      <c r="E21" s="1013">
        <v>128.29247380688207</v>
      </c>
      <c r="F21" s="1062">
        <v>111.00436690367194</v>
      </c>
      <c r="G21" s="1063">
        <v>118.80670789220214</v>
      </c>
      <c r="H21" s="442">
        <v>115.83039402827423</v>
      </c>
      <c r="I21" s="870">
        <v>119.81075576877079</v>
      </c>
      <c r="J21" s="1064">
        <v>103.89556560795066</v>
      </c>
      <c r="K21" s="473"/>
      <c r="L21" s="642"/>
      <c r="M21" s="641"/>
      <c r="N21" s="641"/>
      <c r="O21" s="215"/>
      <c r="P21" s="215"/>
      <c r="Q21" s="215"/>
      <c r="R21" s="215"/>
      <c r="S21" s="215"/>
      <c r="T21" s="215"/>
      <c r="U21" s="215"/>
      <c r="V21" s="215"/>
      <c r="W21" s="215"/>
    </row>
    <row r="22" spans="1:31" s="185" customFormat="1" ht="16.5" customHeight="1" x14ac:dyDescent="0.2">
      <c r="A22" s="686" t="s">
        <v>273</v>
      </c>
      <c r="B22" s="1024">
        <v>100</v>
      </c>
      <c r="C22" s="1025">
        <v>117.27780578972802</v>
      </c>
      <c r="D22" s="1026">
        <v>116.87470883729183</v>
      </c>
      <c r="E22" s="1026">
        <v>117.68090274216418</v>
      </c>
      <c r="F22" s="1073">
        <v>108.7276589298362</v>
      </c>
      <c r="G22" s="1071">
        <v>110.34024115356961</v>
      </c>
      <c r="H22" s="444">
        <v>112.51017191457041</v>
      </c>
      <c r="I22" s="125">
        <v>113.80735553830553</v>
      </c>
      <c r="J22" s="1076">
        <v>100.00025363613466</v>
      </c>
      <c r="K22" s="473"/>
      <c r="L22" s="642"/>
      <c r="M22" s="643"/>
      <c r="N22" s="643"/>
      <c r="O22" s="215"/>
      <c r="P22" s="215"/>
      <c r="Q22" s="215"/>
      <c r="R22" s="215"/>
      <c r="S22" s="215"/>
      <c r="T22" s="215"/>
      <c r="U22" s="215"/>
      <c r="V22" s="215"/>
      <c r="W22" s="215"/>
      <c r="X22" s="25"/>
      <c r="Y22" s="25"/>
      <c r="Z22" s="25"/>
      <c r="AA22" s="25"/>
      <c r="AB22" s="25"/>
      <c r="AC22" s="25"/>
      <c r="AD22" s="25"/>
    </row>
    <row r="23" spans="1:31" s="185" customFormat="1" ht="16.5" customHeight="1" x14ac:dyDescent="0.2">
      <c r="A23" s="686" t="s">
        <v>291</v>
      </c>
      <c r="B23" s="1024">
        <v>100</v>
      </c>
      <c r="C23" s="1025">
        <v>89.982123913042244</v>
      </c>
      <c r="D23" s="1026">
        <v>89.647753354217812</v>
      </c>
      <c r="E23" s="1026">
        <v>90.316494471866676</v>
      </c>
      <c r="F23" s="1073">
        <v>88.671764098804275</v>
      </c>
      <c r="G23" s="1071">
        <v>90.50467544339017</v>
      </c>
      <c r="H23" s="442">
        <v>95.657897045259418</v>
      </c>
      <c r="I23" s="125">
        <v>91.027321092508132</v>
      </c>
      <c r="J23" s="1076">
        <v>91.711465543136683</v>
      </c>
      <c r="K23" s="473"/>
      <c r="L23" s="642"/>
      <c r="M23" s="641"/>
      <c r="N23" s="641"/>
      <c r="O23" s="215"/>
      <c r="P23" s="215"/>
      <c r="Q23" s="215"/>
      <c r="R23" s="215"/>
      <c r="S23" s="215"/>
      <c r="T23" s="215"/>
      <c r="U23" s="215"/>
      <c r="V23" s="215"/>
      <c r="W23" s="215"/>
      <c r="X23" s="25"/>
      <c r="Y23" s="25"/>
      <c r="Z23" s="25"/>
      <c r="AA23" s="25"/>
      <c r="AB23" s="25"/>
      <c r="AC23" s="25"/>
      <c r="AD23" s="25"/>
    </row>
    <row r="24" spans="1:31" s="185" customFormat="1" ht="16.5" customHeight="1" x14ac:dyDescent="0.2">
      <c r="A24" s="686" t="s">
        <v>292</v>
      </c>
      <c r="B24" s="1024">
        <v>100</v>
      </c>
      <c r="C24" s="1025">
        <v>97.812211129307215</v>
      </c>
      <c r="D24" s="1026">
        <v>94.213857131769473</v>
      </c>
      <c r="E24" s="1026">
        <v>101.41056512684497</v>
      </c>
      <c r="F24" s="1073">
        <v>96.780381722583328</v>
      </c>
      <c r="G24" s="1070">
        <v>97.33508901939733</v>
      </c>
      <c r="H24" s="442">
        <v>96.62087654737023</v>
      </c>
      <c r="I24" s="125">
        <v>93.855828644238883</v>
      </c>
      <c r="J24" s="1076">
        <v>98.118571273383836</v>
      </c>
      <c r="K24" s="473"/>
      <c r="L24" s="642"/>
      <c r="M24" s="641"/>
      <c r="N24" s="641"/>
      <c r="O24" s="215"/>
      <c r="P24" s="215"/>
      <c r="Q24" s="215"/>
      <c r="R24" s="215"/>
      <c r="S24" s="215"/>
      <c r="T24" s="215"/>
      <c r="U24" s="215"/>
      <c r="V24" s="215"/>
      <c r="W24" s="215"/>
      <c r="X24" s="25"/>
      <c r="Y24" s="25"/>
      <c r="Z24" s="25"/>
      <c r="AA24" s="25"/>
      <c r="AB24" s="25"/>
      <c r="AC24" s="25"/>
      <c r="AD24" s="25"/>
    </row>
    <row r="25" spans="1:31" s="185" customFormat="1" ht="16.5" customHeight="1" x14ac:dyDescent="0.2">
      <c r="A25" s="686" t="s">
        <v>274</v>
      </c>
      <c r="B25" s="1030">
        <v>100</v>
      </c>
      <c r="C25" s="1028">
        <v>102.05449091856265</v>
      </c>
      <c r="D25" s="1029">
        <v>99.868775628152932</v>
      </c>
      <c r="E25" s="1029">
        <v>104.2402062089724</v>
      </c>
      <c r="F25" s="1073">
        <v>101.75946531028869</v>
      </c>
      <c r="G25" s="1074">
        <v>105.90779565702076</v>
      </c>
      <c r="H25" s="1249">
        <v>96.150938812693425</v>
      </c>
      <c r="I25" s="1075">
        <v>93.222869848558716</v>
      </c>
      <c r="J25" s="1076">
        <v>93.526131783683653</v>
      </c>
      <c r="K25" s="473"/>
      <c r="L25" s="642"/>
      <c r="M25" s="641"/>
      <c r="N25" s="641"/>
      <c r="O25" s="215"/>
      <c r="P25" s="215"/>
      <c r="Q25" s="215"/>
      <c r="R25" s="215"/>
      <c r="S25" s="215"/>
      <c r="T25" s="215"/>
      <c r="U25" s="215"/>
      <c r="V25" s="215"/>
      <c r="W25" s="215"/>
      <c r="X25" s="25"/>
      <c r="Y25" s="25"/>
      <c r="Z25" s="25"/>
      <c r="AA25" s="25"/>
      <c r="AB25" s="25"/>
      <c r="AC25" s="25"/>
      <c r="AD25" s="25"/>
    </row>
    <row r="26" spans="1:31" s="180" customFormat="1" ht="16.5" customHeight="1" x14ac:dyDescent="0.2">
      <c r="A26" s="449" t="s">
        <v>25</v>
      </c>
      <c r="B26" s="1044"/>
      <c r="C26" s="1045"/>
      <c r="D26" s="1046"/>
      <c r="E26" s="1043"/>
      <c r="F26" s="1086"/>
      <c r="G26" s="1086"/>
      <c r="H26" s="1268"/>
      <c r="I26" s="1086"/>
      <c r="J26" s="1086"/>
      <c r="K26" s="473"/>
      <c r="L26" s="642"/>
      <c r="M26" s="651"/>
      <c r="N26" s="651"/>
      <c r="O26" s="652"/>
      <c r="P26" s="652"/>
      <c r="Q26" s="652"/>
      <c r="R26" s="215"/>
      <c r="S26" s="215"/>
      <c r="T26" s="215"/>
      <c r="U26" s="215"/>
      <c r="V26" s="215"/>
      <c r="W26" s="215"/>
      <c r="X26" s="25"/>
      <c r="Y26" s="25"/>
      <c r="Z26" s="25"/>
      <c r="AA26" s="25"/>
      <c r="AB26" s="25"/>
      <c r="AC26" s="25"/>
      <c r="AD26" s="25"/>
    </row>
    <row r="27" spans="1:31" s="185" customFormat="1" ht="16.5" customHeight="1" x14ac:dyDescent="0.2">
      <c r="A27" s="735" t="s">
        <v>275</v>
      </c>
      <c r="B27" s="1011">
        <v>100</v>
      </c>
      <c r="C27" s="1047">
        <v>95.233227559395644</v>
      </c>
      <c r="D27" s="1048">
        <v>94.879672431314333</v>
      </c>
      <c r="E27" s="1048">
        <v>95.586782687476941</v>
      </c>
      <c r="F27" s="1087">
        <v>81.385361210081555</v>
      </c>
      <c r="G27" s="1088">
        <v>89.019367496887952</v>
      </c>
      <c r="H27" s="1012">
        <v>86.576403534904827</v>
      </c>
      <c r="I27" s="1089">
        <v>89.571679994420208</v>
      </c>
      <c r="J27" s="1090">
        <v>81.318898913439938</v>
      </c>
      <c r="K27" s="473"/>
      <c r="L27" s="645"/>
      <c r="M27" s="651"/>
      <c r="N27" s="641"/>
      <c r="O27" s="215"/>
      <c r="P27" s="215"/>
      <c r="Q27" s="215"/>
      <c r="R27" s="215"/>
      <c r="S27" s="215"/>
      <c r="T27" s="215"/>
      <c r="U27" s="215"/>
      <c r="V27" s="215"/>
      <c r="W27" s="215"/>
      <c r="X27" s="25"/>
      <c r="Y27" s="25"/>
      <c r="Z27" s="25"/>
      <c r="AA27" s="25"/>
      <c r="AB27" s="25"/>
      <c r="AC27" s="25"/>
      <c r="AD27" s="25"/>
    </row>
    <row r="28" spans="1:31" s="185" customFormat="1" ht="16.5" customHeight="1" x14ac:dyDescent="0.2">
      <c r="A28" s="758" t="s">
        <v>226</v>
      </c>
      <c r="B28" s="1049">
        <f>65+6.80750321321837</f>
        <v>71.807503213218368</v>
      </c>
      <c r="C28" s="1015">
        <f>65+5.36895810120794</f>
        <v>70.368958101207937</v>
      </c>
      <c r="D28" s="1016">
        <f>65+4.99692689270503</f>
        <v>69.996926892705034</v>
      </c>
      <c r="E28" s="1016">
        <f>65+5.74098930971084</f>
        <v>70.740989309710841</v>
      </c>
      <c r="F28" s="1091">
        <f>65+7.46741305812604</f>
        <v>72.467413058126041</v>
      </c>
      <c r="G28" s="1066">
        <f>65+8.36471523030299</f>
        <v>73.364715230302991</v>
      </c>
      <c r="H28" s="1015">
        <f>65+8.83403745763718</f>
        <v>73.83403745763718</v>
      </c>
      <c r="I28" s="1067">
        <f>65+7.75350484268486</f>
        <v>72.753504842684862</v>
      </c>
      <c r="J28" s="1092">
        <f>65+10.7392160340229</f>
        <v>75.739216034022903</v>
      </c>
      <c r="K28" s="473"/>
      <c r="L28" s="642"/>
      <c r="M28" s="651"/>
      <c r="N28" s="641"/>
      <c r="O28" s="215"/>
      <c r="P28" s="215"/>
      <c r="Q28" s="215"/>
      <c r="R28" s="215"/>
      <c r="S28" s="215"/>
      <c r="T28" s="215"/>
      <c r="U28" s="215"/>
      <c r="V28" s="215"/>
      <c r="W28" s="215"/>
      <c r="X28" s="25"/>
      <c r="Y28" s="25"/>
      <c r="Z28" s="25"/>
      <c r="AA28" s="25"/>
      <c r="AB28" s="25"/>
      <c r="AC28" s="25"/>
      <c r="AD28" s="25"/>
    </row>
    <row r="29" spans="1:31" s="185" customFormat="1" ht="16.5" customHeight="1" x14ac:dyDescent="0.2">
      <c r="A29" s="686" t="s">
        <v>276</v>
      </c>
      <c r="B29" s="1024">
        <v>100</v>
      </c>
      <c r="C29" s="1025">
        <v>101.14642752347443</v>
      </c>
      <c r="D29" s="1026">
        <v>103.12916687951645</v>
      </c>
      <c r="E29" s="1026">
        <v>99.163688167432369</v>
      </c>
      <c r="F29" s="1073">
        <v>102.52923231149819</v>
      </c>
      <c r="G29" s="1071">
        <v>100.74963009955957</v>
      </c>
      <c r="H29" s="1025">
        <v>106.00924700228107</v>
      </c>
      <c r="I29" s="125">
        <v>104.23420060801169</v>
      </c>
      <c r="J29" s="1076">
        <v>102.62727785412709</v>
      </c>
      <c r="K29" s="473"/>
      <c r="L29" s="642"/>
      <c r="M29" s="651"/>
      <c r="N29" s="641"/>
      <c r="O29" s="215"/>
      <c r="P29" s="215"/>
      <c r="Q29" s="215"/>
      <c r="R29" s="215"/>
      <c r="S29" s="215"/>
      <c r="T29" s="215"/>
      <c r="U29" s="215"/>
      <c r="V29" s="215"/>
      <c r="W29" s="215"/>
      <c r="X29" s="25"/>
      <c r="Y29" s="25"/>
      <c r="Z29" s="25"/>
      <c r="AA29" s="25"/>
      <c r="AB29" s="25"/>
      <c r="AC29" s="25"/>
      <c r="AD29" s="25"/>
    </row>
    <row r="30" spans="1:31" s="453" customFormat="1" ht="16.5" customHeight="1" x14ac:dyDescent="0.2">
      <c r="A30" s="758" t="s">
        <v>228</v>
      </c>
      <c r="B30" s="1049">
        <f>65+7.93347031992596</f>
        <v>72.933470319925959</v>
      </c>
      <c r="C30" s="1015">
        <f>65+5.71426680364371</f>
        <v>70.71426680364371</v>
      </c>
      <c r="D30" s="1016">
        <f>65+5.82833168208977</f>
        <v>70.828331682089768</v>
      </c>
      <c r="E30" s="1016">
        <f>65+5.59835621772682</f>
        <v>70.598356217726817</v>
      </c>
      <c r="F30" s="1065">
        <f>65+6.0606887698941</f>
        <v>71.060688769894099</v>
      </c>
      <c r="G30" s="1066">
        <f>65+7.27564559735016</f>
        <v>72.275645597350163</v>
      </c>
      <c r="H30" s="1015">
        <f>65+6.10161520135601</f>
        <v>71.101615201356012</v>
      </c>
      <c r="I30" s="1067">
        <f>65+6.80573670089397</f>
        <v>71.805736700893974</v>
      </c>
      <c r="J30" s="1068">
        <f>65+7.52578599745137</f>
        <v>72.525785997451365</v>
      </c>
      <c r="K30" s="996"/>
      <c r="L30" s="642"/>
      <c r="M30" s="651"/>
      <c r="N30" s="646"/>
      <c r="O30" s="452"/>
      <c r="P30" s="452"/>
      <c r="Q30" s="452"/>
      <c r="R30" s="452"/>
      <c r="S30" s="452"/>
      <c r="T30" s="452"/>
      <c r="U30" s="452"/>
      <c r="V30" s="452"/>
      <c r="W30" s="452"/>
      <c r="X30" s="451"/>
      <c r="Y30" s="451"/>
      <c r="Z30" s="451"/>
      <c r="AA30" s="451"/>
      <c r="AB30" s="451"/>
      <c r="AC30" s="451"/>
      <c r="AD30" s="451"/>
      <c r="AE30" s="451"/>
    </row>
    <row r="31" spans="1:31" s="185" customFormat="1" ht="16.5" customHeight="1" x14ac:dyDescent="0.2">
      <c r="A31" s="686" t="s">
        <v>277</v>
      </c>
      <c r="B31" s="1024">
        <v>100</v>
      </c>
      <c r="C31" s="1025">
        <v>107.6643220661426</v>
      </c>
      <c r="D31" s="1026">
        <v>106.74549621667452</v>
      </c>
      <c r="E31" s="1026">
        <v>108.58314791561072</v>
      </c>
      <c r="F31" s="1073">
        <v>104.23514411405775</v>
      </c>
      <c r="G31" s="1071">
        <v>106.88892870287778</v>
      </c>
      <c r="H31" s="1025">
        <v>109.51889220247909</v>
      </c>
      <c r="I31" s="125">
        <v>107.42565154319897</v>
      </c>
      <c r="J31" s="1076">
        <v>106.84114988720992</v>
      </c>
      <c r="K31" s="473"/>
      <c r="L31" s="642"/>
      <c r="M31" s="641"/>
      <c r="N31" s="641"/>
      <c r="O31" s="215"/>
      <c r="P31" s="215"/>
      <c r="Q31" s="215"/>
      <c r="R31" s="215"/>
      <c r="S31" s="215"/>
      <c r="T31" s="215"/>
      <c r="U31" s="215"/>
      <c r="V31" s="215"/>
      <c r="W31" s="215"/>
      <c r="X31" s="25"/>
      <c r="Y31" s="25"/>
      <c r="Z31" s="25"/>
      <c r="AA31" s="25"/>
      <c r="AB31" s="25"/>
      <c r="AC31" s="25"/>
      <c r="AD31" s="25"/>
    </row>
    <row r="32" spans="1:31" s="185" customFormat="1" ht="16.5" customHeight="1" x14ac:dyDescent="0.2">
      <c r="A32" s="689" t="s">
        <v>279</v>
      </c>
      <c r="B32" s="1030">
        <v>100</v>
      </c>
      <c r="C32" s="1028">
        <v>105.81682866368459</v>
      </c>
      <c r="D32" s="1029">
        <v>104.51105296265054</v>
      </c>
      <c r="E32" s="1029">
        <v>107.10976846351632</v>
      </c>
      <c r="F32" s="1073">
        <v>100.76376158761336</v>
      </c>
      <c r="G32" s="1073">
        <v>108.17908176306236</v>
      </c>
      <c r="H32" s="1138">
        <v>104.69450638567</v>
      </c>
      <c r="I32" s="1075">
        <v>101.13602990796788</v>
      </c>
      <c r="J32" s="1076">
        <v>102.10094055984274</v>
      </c>
      <c r="K32" s="473"/>
      <c r="L32" s="642"/>
      <c r="M32" s="641"/>
      <c r="N32" s="642"/>
      <c r="O32" s="215"/>
      <c r="P32" s="215"/>
      <c r="Q32" s="215"/>
      <c r="R32" s="215"/>
      <c r="S32" s="215"/>
      <c r="T32" s="215"/>
      <c r="U32" s="215"/>
      <c r="V32" s="215"/>
      <c r="W32" s="215"/>
      <c r="X32" s="25"/>
      <c r="Y32" s="25"/>
      <c r="Z32" s="25"/>
      <c r="AA32" s="25"/>
      <c r="AB32" s="25"/>
      <c r="AC32" s="25"/>
      <c r="AD32" s="25"/>
    </row>
    <row r="33" spans="1:30" s="25" customFormat="1" ht="16.5" customHeight="1" x14ac:dyDescent="0.2">
      <c r="A33" s="455" t="s">
        <v>15</v>
      </c>
      <c r="B33" s="1250"/>
      <c r="C33" s="1251"/>
      <c r="D33" s="1252"/>
      <c r="E33" s="1252"/>
      <c r="F33" s="1041"/>
      <c r="G33" s="1041"/>
      <c r="H33" s="1269"/>
      <c r="I33" s="458"/>
      <c r="J33" s="943"/>
      <c r="K33" s="473"/>
      <c r="L33" s="642"/>
      <c r="M33" s="641"/>
      <c r="N33" s="641"/>
      <c r="O33" s="215"/>
      <c r="P33" s="215"/>
      <c r="Q33" s="215"/>
      <c r="R33" s="215"/>
      <c r="S33" s="215"/>
      <c r="T33" s="215"/>
      <c r="U33" s="215"/>
      <c r="V33" s="215"/>
      <c r="W33" s="215"/>
    </row>
    <row r="34" spans="1:30" s="25" customFormat="1" ht="16.5" customHeight="1" x14ac:dyDescent="0.2">
      <c r="A34" s="780" t="s">
        <v>294</v>
      </c>
      <c r="B34" s="1250">
        <v>7.0653158737759414</v>
      </c>
      <c r="C34" s="1251">
        <v>7.2641376295861795</v>
      </c>
      <c r="D34" s="1252">
        <v>7.312476301772004</v>
      </c>
      <c r="E34" s="1252">
        <v>7.2157989574003549</v>
      </c>
      <c r="F34" s="1041">
        <v>7.2418816623119673</v>
      </c>
      <c r="G34" s="1041">
        <v>7.3946540241479664</v>
      </c>
      <c r="H34" s="1270">
        <v>7.365437086498666</v>
      </c>
      <c r="I34" s="1273"/>
      <c r="J34" s="1274"/>
      <c r="K34" s="473"/>
      <c r="L34" s="642"/>
      <c r="M34" s="641"/>
      <c r="N34" s="641"/>
      <c r="O34" s="215"/>
      <c r="P34" s="215"/>
      <c r="Q34" s="215"/>
      <c r="R34" s="215"/>
      <c r="S34" s="215"/>
      <c r="T34" s="215"/>
      <c r="U34" s="215"/>
      <c r="V34" s="215"/>
      <c r="W34" s="215"/>
    </row>
    <row r="35" spans="1:30" s="25" customFormat="1" ht="16.5" customHeight="1" x14ac:dyDescent="0.2">
      <c r="A35" s="455" t="s">
        <v>16</v>
      </c>
      <c r="B35" s="1255"/>
      <c r="C35" s="1255"/>
      <c r="D35" s="1256"/>
      <c r="E35" s="1257"/>
      <c r="F35" s="1258"/>
      <c r="G35" s="1258"/>
      <c r="H35" s="1269"/>
      <c r="I35" s="1271"/>
      <c r="J35" s="1272"/>
      <c r="K35" s="473"/>
      <c r="L35" s="642"/>
      <c r="M35" s="641"/>
      <c r="N35" s="641"/>
      <c r="O35" s="215"/>
      <c r="P35" s="215"/>
      <c r="Q35" s="215"/>
      <c r="R35" s="215"/>
      <c r="S35" s="215"/>
      <c r="T35" s="215"/>
      <c r="U35" s="215"/>
      <c r="V35" s="215"/>
      <c r="W35" s="215"/>
    </row>
    <row r="36" spans="1:30" s="25" customFormat="1" ht="16.5" customHeight="1" x14ac:dyDescent="0.2">
      <c r="A36" s="463" t="s">
        <v>6</v>
      </c>
      <c r="B36" s="1213">
        <v>5.3142878503785065</v>
      </c>
      <c r="C36" s="1213">
        <v>6.1075589436646762</v>
      </c>
      <c r="D36" s="1263">
        <v>6.1894861590805146</v>
      </c>
      <c r="E36" s="1139">
        <v>6.0256317282488379</v>
      </c>
      <c r="F36" s="1139">
        <v>6.9347025524152706</v>
      </c>
      <c r="G36" s="1267">
        <v>5.335538281684471</v>
      </c>
      <c r="H36" s="1213">
        <v>3.4303083918802533</v>
      </c>
      <c r="I36" s="1056">
        <v>4.6641504224662045</v>
      </c>
      <c r="J36" s="1259">
        <v>5.3258563397711294</v>
      </c>
      <c r="K36" s="473"/>
      <c r="L36" s="642"/>
      <c r="M36" s="641"/>
      <c r="N36" s="641"/>
      <c r="O36" s="215"/>
      <c r="P36" s="215"/>
      <c r="Q36" s="215"/>
      <c r="R36" s="215"/>
      <c r="S36" s="215"/>
      <c r="T36" s="215"/>
      <c r="U36" s="215"/>
      <c r="V36" s="215"/>
      <c r="W36" s="215"/>
    </row>
    <row r="37" spans="1:30" s="25" customFormat="1" ht="16.5" customHeight="1" x14ac:dyDescent="0.2">
      <c r="A37" s="466" t="s">
        <v>7</v>
      </c>
      <c r="B37" s="1054">
        <v>5.5386407434438247</v>
      </c>
      <c r="C37" s="1054">
        <v>5.73917564630157</v>
      </c>
      <c r="D37" s="1017">
        <v>6.0498093281958871</v>
      </c>
      <c r="E37" s="1016">
        <v>5.4285419644072537</v>
      </c>
      <c r="F37" s="1057" t="s">
        <v>245</v>
      </c>
      <c r="G37" s="1058" t="s">
        <v>5</v>
      </c>
      <c r="H37" s="1054">
        <v>7.0315355192354545</v>
      </c>
      <c r="I37" s="1017">
        <v>6.4597859342173543</v>
      </c>
      <c r="J37" s="1260">
        <v>7.2370000000000001</v>
      </c>
      <c r="K37" s="473"/>
      <c r="L37" s="642"/>
      <c r="M37" s="641"/>
      <c r="N37" s="641"/>
      <c r="O37" s="215"/>
      <c r="P37" s="215"/>
      <c r="Q37" s="215"/>
      <c r="R37" s="215"/>
      <c r="S37" s="215"/>
      <c r="T37" s="215"/>
      <c r="U37" s="215"/>
      <c r="V37" s="215"/>
      <c r="W37" s="215"/>
    </row>
    <row r="38" spans="1:30" s="25" customFormat="1" ht="16.5" customHeight="1" x14ac:dyDescent="0.2">
      <c r="A38" s="461" t="s">
        <v>8</v>
      </c>
      <c r="B38" s="1265">
        <v>6.3913264353079944</v>
      </c>
      <c r="C38" s="1265">
        <v>6.7089647917689827</v>
      </c>
      <c r="D38" s="1264">
        <v>5.2441142892787589</v>
      </c>
      <c r="E38" s="1053">
        <v>8.1738152942592066</v>
      </c>
      <c r="F38" s="1061">
        <v>5.3361091304461592</v>
      </c>
      <c r="G38" s="1060">
        <v>5.36729174746994</v>
      </c>
      <c r="H38" s="1265">
        <v>4.6071790532864316</v>
      </c>
      <c r="I38" s="1264">
        <v>4.3999982382612064</v>
      </c>
      <c r="J38" s="1261">
        <v>6.5889213980046186</v>
      </c>
      <c r="K38" s="473"/>
      <c r="L38" s="642"/>
      <c r="M38" s="641"/>
      <c r="N38" s="641"/>
      <c r="O38" s="215"/>
      <c r="P38" s="215"/>
      <c r="Q38" s="215"/>
      <c r="R38" s="215"/>
      <c r="S38" s="215"/>
      <c r="T38" s="215"/>
      <c r="U38" s="215"/>
      <c r="V38" s="215"/>
      <c r="W38" s="215"/>
    </row>
    <row r="39" spans="1:30" ht="15.75" customHeight="1" x14ac:dyDescent="0.2">
      <c r="A39" s="77"/>
      <c r="B39" s="1266"/>
      <c r="C39" s="1266"/>
      <c r="H39" s="1266"/>
      <c r="K39" s="893"/>
      <c r="L39" s="647"/>
    </row>
    <row r="40" spans="1:30" s="25" customFormat="1" ht="16.5" customHeight="1" x14ac:dyDescent="0.2">
      <c r="A40" s="275" t="s">
        <v>9</v>
      </c>
      <c r="B40" s="213" t="s">
        <v>5</v>
      </c>
      <c r="C40" s="213" t="s">
        <v>5</v>
      </c>
      <c r="D40" s="66">
        <v>2009</v>
      </c>
      <c r="E40" s="65">
        <v>2009</v>
      </c>
      <c r="F40" s="199">
        <v>2016</v>
      </c>
      <c r="G40" s="199">
        <v>2016</v>
      </c>
      <c r="H40" s="213" t="s">
        <v>5</v>
      </c>
      <c r="I40" s="66">
        <v>2000</v>
      </c>
      <c r="J40" s="93">
        <v>2019</v>
      </c>
      <c r="K40" s="473"/>
      <c r="L40" s="642"/>
      <c r="M40" s="641"/>
      <c r="N40" s="641"/>
      <c r="O40" s="215"/>
      <c r="P40" s="215"/>
      <c r="Q40" s="215"/>
      <c r="R40" s="215"/>
      <c r="S40" s="215"/>
      <c r="T40" s="215"/>
      <c r="U40" s="215"/>
      <c r="V40" s="215"/>
      <c r="W40" s="215"/>
    </row>
    <row r="41" spans="1:30" s="25" customFormat="1" ht="16.5" customHeight="1" x14ac:dyDescent="0.2">
      <c r="A41" s="1289" t="s">
        <v>405</v>
      </c>
      <c r="B41" s="213" t="s">
        <v>5</v>
      </c>
      <c r="C41" s="213" t="s">
        <v>5</v>
      </c>
      <c r="D41" s="1290" t="s">
        <v>407</v>
      </c>
      <c r="E41" s="1290" t="s">
        <v>409</v>
      </c>
      <c r="F41" s="1290" t="s">
        <v>411</v>
      </c>
      <c r="G41" s="1290" t="s">
        <v>409</v>
      </c>
      <c r="H41" s="213" t="s">
        <v>5</v>
      </c>
      <c r="I41" s="1290" t="s">
        <v>413</v>
      </c>
      <c r="J41" s="1290" t="s">
        <v>411</v>
      </c>
      <c r="K41" s="473"/>
      <c r="L41" s="642"/>
      <c r="M41" s="641"/>
      <c r="N41" s="641"/>
      <c r="O41" s="215"/>
      <c r="P41" s="215"/>
      <c r="Q41" s="215"/>
      <c r="R41" s="215"/>
      <c r="S41" s="215"/>
      <c r="T41" s="215"/>
      <c r="U41" s="215"/>
      <c r="V41" s="215"/>
      <c r="W41" s="215"/>
    </row>
    <row r="42" spans="1:30" s="25" customFormat="1" ht="16.5" customHeight="1" x14ac:dyDescent="0.2">
      <c r="A42" s="1289" t="s">
        <v>406</v>
      </c>
      <c r="B42" s="213" t="s">
        <v>5</v>
      </c>
      <c r="C42" s="213" t="s">
        <v>5</v>
      </c>
      <c r="D42" s="1290" t="s">
        <v>408</v>
      </c>
      <c r="E42" s="1290" t="s">
        <v>410</v>
      </c>
      <c r="F42" s="1290" t="s">
        <v>412</v>
      </c>
      <c r="G42" s="1290" t="s">
        <v>410</v>
      </c>
      <c r="H42" s="213" t="s">
        <v>5</v>
      </c>
      <c r="I42" s="1290" t="s">
        <v>414</v>
      </c>
      <c r="J42" s="1290" t="s">
        <v>412</v>
      </c>
      <c r="K42" s="473"/>
      <c r="L42" s="642"/>
      <c r="M42" s="641"/>
      <c r="N42" s="641"/>
      <c r="O42" s="215"/>
      <c r="P42" s="215"/>
      <c r="Q42" s="215"/>
      <c r="R42" s="215"/>
      <c r="S42" s="215"/>
      <c r="T42" s="215"/>
      <c r="U42" s="215"/>
      <c r="V42" s="215"/>
      <c r="W42" s="215"/>
    </row>
    <row r="43" spans="1:30" s="185" customFormat="1" ht="16.5" customHeight="1" x14ac:dyDescent="0.2">
      <c r="A43" s="474" t="s">
        <v>10</v>
      </c>
      <c r="B43" s="1254"/>
      <c r="C43" s="1254"/>
      <c r="D43" s="1236"/>
      <c r="E43" s="1236"/>
      <c r="F43" s="1236"/>
      <c r="G43" s="1236"/>
      <c r="H43" s="1254"/>
      <c r="I43" s="1253"/>
      <c r="J43" s="1262"/>
      <c r="K43" s="473"/>
      <c r="L43" s="641"/>
      <c r="M43" s="641"/>
      <c r="N43" s="641"/>
      <c r="O43" s="215"/>
      <c r="P43" s="215"/>
      <c r="Q43" s="215"/>
      <c r="R43" s="215"/>
      <c r="S43" s="215"/>
      <c r="T43" s="215"/>
      <c r="U43" s="215"/>
      <c r="V43" s="215"/>
      <c r="W43" s="215"/>
      <c r="X43" s="25"/>
      <c r="Y43" s="25"/>
      <c r="Z43" s="25"/>
      <c r="AA43" s="25"/>
      <c r="AB43" s="25"/>
      <c r="AC43" s="25"/>
      <c r="AD43" s="25"/>
    </row>
    <row r="44" spans="1:30" s="185" customFormat="1" ht="16.5" customHeight="1" x14ac:dyDescent="0.2">
      <c r="A44" s="463" t="s">
        <v>27</v>
      </c>
      <c r="B44" s="481" t="s">
        <v>5</v>
      </c>
      <c r="C44" s="481" t="s">
        <v>5</v>
      </c>
      <c r="D44" s="834">
        <v>19</v>
      </c>
      <c r="E44" s="483">
        <v>11</v>
      </c>
      <c r="F44" s="491">
        <v>14</v>
      </c>
      <c r="G44" s="491">
        <v>11</v>
      </c>
      <c r="H44" s="481" t="s">
        <v>5</v>
      </c>
      <c r="I44" s="482">
        <v>21</v>
      </c>
      <c r="J44" s="994">
        <v>5</v>
      </c>
      <c r="K44" s="473"/>
      <c r="L44" s="641"/>
      <c r="M44" s="641"/>
      <c r="N44" s="641"/>
      <c r="O44" s="215"/>
      <c r="P44" s="215"/>
      <c r="Q44" s="215"/>
      <c r="R44" s="215"/>
      <c r="S44" s="215"/>
      <c r="T44" s="215"/>
      <c r="U44" s="215"/>
      <c r="V44" s="215"/>
      <c r="W44" s="215"/>
      <c r="X44" s="25"/>
      <c r="Y44" s="25"/>
      <c r="Z44" s="25"/>
      <c r="AA44" s="25"/>
      <c r="AB44" s="25"/>
      <c r="AC44" s="25"/>
      <c r="AD44" s="25"/>
    </row>
    <row r="45" spans="1:30" s="185" customFormat="1" ht="16.5" customHeight="1" x14ac:dyDescent="0.2">
      <c r="A45" s="466" t="s">
        <v>28</v>
      </c>
      <c r="B45" s="486" t="s">
        <v>5</v>
      </c>
      <c r="C45" s="486" t="s">
        <v>5</v>
      </c>
      <c r="D45" s="487">
        <v>16</v>
      </c>
      <c r="E45" s="488">
        <v>11</v>
      </c>
      <c r="F45" s="492">
        <v>11</v>
      </c>
      <c r="G45" s="488">
        <v>8</v>
      </c>
      <c r="H45" s="1275" t="s">
        <v>5</v>
      </c>
      <c r="I45" s="487">
        <v>18</v>
      </c>
      <c r="J45" s="547">
        <v>6</v>
      </c>
      <c r="K45" s="473"/>
      <c r="L45" s="641"/>
      <c r="M45" s="641"/>
      <c r="N45" s="641"/>
      <c r="O45" s="215"/>
      <c r="P45" s="215"/>
      <c r="Q45" s="215"/>
      <c r="R45" s="215"/>
      <c r="S45" s="215"/>
      <c r="T45" s="215"/>
      <c r="U45" s="215"/>
      <c r="V45" s="215"/>
      <c r="W45" s="215"/>
      <c r="X45" s="25"/>
      <c r="Y45" s="25"/>
      <c r="Z45" s="25"/>
      <c r="AA45" s="25"/>
      <c r="AB45" s="25"/>
      <c r="AC45" s="25"/>
      <c r="AD45" s="25"/>
    </row>
    <row r="46" spans="1:30" s="185" customFormat="1" ht="16.5" customHeight="1" thickBot="1" x14ac:dyDescent="0.25">
      <c r="A46" s="493" t="s">
        <v>29</v>
      </c>
      <c r="B46" s="495" t="s">
        <v>5</v>
      </c>
      <c r="C46" s="495" t="s">
        <v>5</v>
      </c>
      <c r="D46" s="498">
        <v>15</v>
      </c>
      <c r="E46" s="496">
        <v>11</v>
      </c>
      <c r="F46" s="497">
        <v>8</v>
      </c>
      <c r="G46" s="496">
        <v>8</v>
      </c>
      <c r="H46" s="495" t="s">
        <v>5</v>
      </c>
      <c r="I46" s="498">
        <v>17</v>
      </c>
      <c r="J46" s="548">
        <v>6</v>
      </c>
      <c r="K46" s="473"/>
      <c r="L46" s="641"/>
      <c r="M46" s="641"/>
      <c r="N46" s="641"/>
      <c r="O46" s="215"/>
      <c r="P46" s="215"/>
      <c r="Q46" s="215"/>
      <c r="R46" s="215"/>
      <c r="S46" s="215"/>
      <c r="T46" s="215"/>
      <c r="U46" s="215"/>
      <c r="V46" s="215"/>
      <c r="W46" s="215"/>
      <c r="X46" s="25"/>
      <c r="Y46" s="25"/>
      <c r="Z46" s="25"/>
      <c r="AA46" s="25"/>
      <c r="AB46" s="25"/>
      <c r="AC46" s="25"/>
      <c r="AD46" s="25"/>
    </row>
    <row r="47" spans="1:30" s="8" customFormat="1" x14ac:dyDescent="0.2">
      <c r="B47" s="96"/>
      <c r="C47" s="96"/>
      <c r="D47" s="96"/>
      <c r="E47" s="96"/>
      <c r="F47" s="96"/>
      <c r="G47" s="96"/>
      <c r="H47" s="96"/>
      <c r="I47" s="95"/>
      <c r="J47" s="104"/>
      <c r="K47" s="6"/>
      <c r="L47" s="640"/>
      <c r="M47" s="640"/>
      <c r="N47" s="640"/>
      <c r="O47" s="45"/>
      <c r="P47" s="45"/>
      <c r="Q47" s="45"/>
      <c r="R47" s="45"/>
      <c r="S47" s="45"/>
      <c r="T47" s="45"/>
      <c r="U47" s="45"/>
      <c r="V47" s="45"/>
      <c r="W47" s="45"/>
      <c r="X47" s="6"/>
      <c r="Y47" s="6"/>
      <c r="Z47" s="6"/>
      <c r="AA47" s="6"/>
      <c r="AB47" s="6"/>
      <c r="AC47" s="6"/>
      <c r="AD47" s="6"/>
    </row>
    <row r="48" spans="1:30" s="8" customFormat="1" x14ac:dyDescent="0.2">
      <c r="A48" s="8" t="s">
        <v>77</v>
      </c>
      <c r="B48" s="96"/>
      <c r="C48" s="96"/>
      <c r="D48" s="96"/>
      <c r="E48" s="96"/>
      <c r="F48" s="96"/>
      <c r="G48" s="96"/>
      <c r="H48" s="96"/>
      <c r="I48" s="95"/>
      <c r="J48" s="104"/>
      <c r="K48" s="6"/>
      <c r="L48" s="640"/>
      <c r="M48" s="640"/>
      <c r="N48" s="640"/>
      <c r="O48" s="45"/>
      <c r="P48" s="45"/>
      <c r="Q48" s="45"/>
      <c r="R48" s="45"/>
      <c r="S48" s="45"/>
      <c r="T48" s="45"/>
      <c r="U48" s="45"/>
      <c r="V48" s="45"/>
      <c r="W48" s="45"/>
      <c r="X48" s="6"/>
      <c r="Y48" s="6"/>
      <c r="Z48" s="6"/>
      <c r="AA48" s="6"/>
      <c r="AB48" s="6"/>
      <c r="AC48" s="6"/>
      <c r="AD48" s="6"/>
    </row>
    <row r="49" spans="1:8" x14ac:dyDescent="0.2">
      <c r="A49" s="1" t="s">
        <v>72</v>
      </c>
      <c r="B49" s="2"/>
      <c r="C49" s="2"/>
      <c r="D49" s="91"/>
      <c r="G49" s="91"/>
      <c r="H49" s="2"/>
    </row>
    <row r="50" spans="1:8" x14ac:dyDescent="0.2">
      <c r="A50" s="807" t="s">
        <v>366</v>
      </c>
      <c r="B50" s="2"/>
      <c r="C50" s="2"/>
      <c r="D50" s="91"/>
      <c r="G50" s="91"/>
      <c r="H50" s="2"/>
    </row>
    <row r="51" spans="1:8" x14ac:dyDescent="0.2">
      <c r="A51" s="1" t="s">
        <v>61</v>
      </c>
      <c r="B51" s="2"/>
      <c r="C51" s="2"/>
      <c r="E51" s="91"/>
      <c r="G51" s="91"/>
      <c r="H51" s="2"/>
    </row>
    <row r="52" spans="1:8" x14ac:dyDescent="0.2">
      <c r="A52" s="1" t="s">
        <v>62</v>
      </c>
      <c r="B52" s="2"/>
      <c r="C52" s="2"/>
      <c r="E52" s="91"/>
      <c r="G52" s="91"/>
      <c r="H52" s="2"/>
    </row>
    <row r="53" spans="1:8" x14ac:dyDescent="0.2">
      <c r="A53" s="6" t="s">
        <v>64</v>
      </c>
      <c r="B53" s="96"/>
      <c r="C53" s="96"/>
      <c r="H53" s="96"/>
    </row>
    <row r="54" spans="1:8" x14ac:dyDescent="0.2">
      <c r="A54" s="146" t="s">
        <v>112</v>
      </c>
    </row>
    <row r="57" spans="1:8" x14ac:dyDescent="0.2">
      <c r="B57" s="453" t="s">
        <v>1</v>
      </c>
      <c r="C57" s="1278" t="s">
        <v>367</v>
      </c>
    </row>
    <row r="58" spans="1:8" x14ac:dyDescent="0.2">
      <c r="B58" s="453" t="s">
        <v>4</v>
      </c>
      <c r="C58" s="1278" t="s">
        <v>368</v>
      </c>
    </row>
    <row r="59" spans="1:8" x14ac:dyDescent="0.2">
      <c r="B59" s="453" t="s">
        <v>2</v>
      </c>
      <c r="C59" s="1278" t="s">
        <v>369</v>
      </c>
    </row>
    <row r="60" spans="1:8" x14ac:dyDescent="0.2">
      <c r="B60" s="453" t="s">
        <v>3</v>
      </c>
      <c r="C60" s="1278" t="s">
        <v>370</v>
      </c>
    </row>
  </sheetData>
  <mergeCells count="2">
    <mergeCell ref="D3:G3"/>
    <mergeCell ref="I3:J3"/>
  </mergeCells>
  <phoneticPr fontId="5" type="noConversion"/>
  <printOptions horizontalCentered="1" verticalCentered="1"/>
  <pageMargins left="0.39370078740157483" right="0.39370078740157483" top="0.39370078740157483" bottom="0.39370078740157483" header="0.19685039370078741" footer="0.15748031496062992"/>
  <pageSetup paperSize="8"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D1278"/>
  <sheetViews>
    <sheetView tabSelected="1" zoomScaleNormal="100" workbookViewId="0">
      <selection activeCell="C11" sqref="C11"/>
    </sheetView>
  </sheetViews>
  <sheetFormatPr defaultColWidth="9.140625" defaultRowHeight="12.75" x14ac:dyDescent="0.2"/>
  <cols>
    <col min="1" max="1" width="21" style="10" customWidth="1"/>
    <col min="2" max="2" width="33.28515625" style="10" customWidth="1"/>
    <col min="3" max="3" width="7.5703125" style="10" customWidth="1"/>
    <col min="4" max="4" width="7.5703125" style="11" customWidth="1"/>
    <col min="5" max="6" width="7.5703125" style="10" customWidth="1"/>
    <col min="7" max="7" width="7.5703125" style="11" customWidth="1"/>
    <col min="8" max="9" width="7.5703125" style="10" customWidth="1"/>
    <col min="10" max="10" width="7.5703125" style="11" customWidth="1"/>
    <col min="11" max="13" width="7.5703125" style="10" customWidth="1"/>
    <col min="14" max="14" width="7.140625" style="11" customWidth="1"/>
    <col min="15" max="15" width="6.42578125" style="12" customWidth="1"/>
    <col min="16" max="16" width="5.42578125" style="12" customWidth="1"/>
    <col min="17" max="17" width="6.5703125" style="10" customWidth="1"/>
    <col min="18" max="18" width="6" style="12" customWidth="1"/>
    <col min="19" max="19" width="9.28515625" style="27" customWidth="1"/>
    <col min="20" max="20" width="9.140625" style="10"/>
    <col min="21" max="56" width="9.140625" style="18"/>
    <col min="57" max="16384" width="9.140625" style="10"/>
  </cols>
  <sheetData>
    <row r="1" spans="1:56" ht="15" x14ac:dyDescent="0.25">
      <c r="A1" s="61" t="s">
        <v>265</v>
      </c>
      <c r="B1" s="61"/>
      <c r="S1" s="9"/>
      <c r="T1" s="18"/>
    </row>
    <row r="2" spans="1:56" ht="6.75" customHeight="1" thickBot="1" x14ac:dyDescent="0.3">
      <c r="A2" s="61"/>
      <c r="B2" s="61"/>
      <c r="C2" s="13"/>
      <c r="D2" s="14"/>
      <c r="E2" s="13"/>
      <c r="F2" s="13"/>
      <c r="G2" s="14"/>
      <c r="H2" s="13"/>
      <c r="I2" s="13"/>
      <c r="J2" s="14"/>
      <c r="K2" s="13"/>
      <c r="L2" s="13"/>
      <c r="M2" s="13"/>
      <c r="N2" s="14"/>
      <c r="O2" s="13"/>
      <c r="P2" s="13"/>
      <c r="Q2" s="809"/>
      <c r="R2" s="13"/>
      <c r="S2" s="30"/>
      <c r="T2" s="18"/>
    </row>
    <row r="3" spans="1:56" ht="111" customHeight="1" thickTop="1" x14ac:dyDescent="0.2">
      <c r="A3" s="156"/>
      <c r="B3" s="157"/>
      <c r="C3" s="557" t="s">
        <v>73</v>
      </c>
      <c r="D3" s="816" t="s">
        <v>80</v>
      </c>
      <c r="E3" s="816" t="s">
        <v>127</v>
      </c>
      <c r="F3" s="816" t="s">
        <v>74</v>
      </c>
      <c r="G3" s="816" t="s">
        <v>91</v>
      </c>
      <c r="H3" s="816" t="s">
        <v>85</v>
      </c>
      <c r="I3" s="816" t="s">
        <v>89</v>
      </c>
      <c r="J3" s="816" t="s">
        <v>75</v>
      </c>
      <c r="K3" s="816" t="s">
        <v>117</v>
      </c>
      <c r="L3" s="816" t="s">
        <v>442</v>
      </c>
      <c r="M3" s="816" t="s">
        <v>104</v>
      </c>
      <c r="N3" s="816" t="s">
        <v>17</v>
      </c>
      <c r="O3" s="816" t="s">
        <v>18</v>
      </c>
      <c r="P3" s="816" t="s">
        <v>19</v>
      </c>
      <c r="Q3" s="817" t="s">
        <v>20</v>
      </c>
      <c r="R3" s="912" t="s">
        <v>108</v>
      </c>
      <c r="S3" s="18"/>
      <c r="T3" s="18"/>
      <c r="BD3" s="10"/>
    </row>
    <row r="4" spans="1:56" s="160" customFormat="1" ht="33" customHeight="1" x14ac:dyDescent="0.2">
      <c r="A4" s="31"/>
      <c r="B4" s="509" t="s">
        <v>21</v>
      </c>
      <c r="C4" s="558" t="s">
        <v>1</v>
      </c>
      <c r="D4" s="818" t="s">
        <v>1</v>
      </c>
      <c r="E4" s="818" t="s">
        <v>2</v>
      </c>
      <c r="F4" s="818" t="s">
        <v>1</v>
      </c>
      <c r="G4" s="818" t="s">
        <v>1</v>
      </c>
      <c r="H4" s="818" t="s">
        <v>1</v>
      </c>
      <c r="I4" s="818" t="s">
        <v>1</v>
      </c>
      <c r="J4" s="818" t="s">
        <v>1</v>
      </c>
      <c r="K4" s="818" t="s">
        <v>2</v>
      </c>
      <c r="L4" s="818" t="s">
        <v>3</v>
      </c>
      <c r="M4" s="818" t="s">
        <v>1</v>
      </c>
      <c r="N4" s="818" t="s">
        <v>1</v>
      </c>
      <c r="O4" s="818" t="s">
        <v>1</v>
      </c>
      <c r="P4" s="818" t="s">
        <v>1</v>
      </c>
      <c r="Q4" s="819" t="s">
        <v>1</v>
      </c>
      <c r="R4" s="913" t="s">
        <v>1</v>
      </c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</row>
    <row r="5" spans="1:56" s="163" customFormat="1" ht="21" customHeight="1" x14ac:dyDescent="0.2">
      <c r="A5" s="1329" t="s">
        <v>382</v>
      </c>
      <c r="B5" s="1330"/>
      <c r="C5" s="85">
        <v>423.10199999999998</v>
      </c>
      <c r="D5" s="54">
        <v>639.57899999999995</v>
      </c>
      <c r="E5" s="54">
        <v>819.62599999999998</v>
      </c>
      <c r="F5" s="54">
        <v>827.41200000000003</v>
      </c>
      <c r="G5" s="54">
        <v>848.33</v>
      </c>
      <c r="H5" s="54">
        <v>868.82299999999998</v>
      </c>
      <c r="I5" s="54">
        <v>937.90899999999999</v>
      </c>
      <c r="J5" s="54">
        <v>956.79899999999998</v>
      </c>
      <c r="K5" s="54">
        <v>959.00800000000004</v>
      </c>
      <c r="L5" s="54">
        <v>1077.82</v>
      </c>
      <c r="M5" s="54">
        <v>1091.6969999999999</v>
      </c>
      <c r="N5" s="54">
        <v>1096.8530000000001</v>
      </c>
      <c r="O5" s="54">
        <v>1155.163</v>
      </c>
      <c r="P5" s="54">
        <v>1174.01</v>
      </c>
      <c r="Q5" s="85">
        <v>1470.4169999999999</v>
      </c>
      <c r="R5" s="914">
        <v>1591.4670000000001</v>
      </c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</row>
    <row r="6" spans="1:56" s="167" customFormat="1" ht="18" customHeight="1" x14ac:dyDescent="0.2">
      <c r="A6" s="164" t="s">
        <v>383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330"/>
      <c r="M6" s="330"/>
      <c r="N6" s="165"/>
      <c r="O6" s="166"/>
      <c r="P6" s="166"/>
      <c r="Q6" s="166"/>
      <c r="R6" s="915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</row>
    <row r="7" spans="1:56" s="167" customFormat="1" ht="18.75" customHeight="1" x14ac:dyDescent="0.2">
      <c r="A7" s="277" t="s">
        <v>28</v>
      </c>
      <c r="B7" s="278"/>
      <c r="C7" s="130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0"/>
      <c r="R7" s="91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</row>
    <row r="8" spans="1:56" s="167" customFormat="1" ht="19.5" customHeight="1" x14ac:dyDescent="0.2">
      <c r="A8" s="714" t="s">
        <v>328</v>
      </c>
      <c r="B8" s="279"/>
      <c r="C8" s="286">
        <v>77.809890964395052</v>
      </c>
      <c r="D8" s="287">
        <v>84.719404634042206</v>
      </c>
      <c r="E8" s="287">
        <v>95.367115134165672</v>
      </c>
      <c r="F8" s="287">
        <v>99.056374782231856</v>
      </c>
      <c r="G8" s="287">
        <v>89.748210322836925</v>
      </c>
      <c r="H8" s="287">
        <v>93.592881967637837</v>
      </c>
      <c r="I8" s="287">
        <v>98.421544992541683</v>
      </c>
      <c r="J8" s="287">
        <v>101.80018889046785</v>
      </c>
      <c r="K8" s="287">
        <v>106.64492830040177</v>
      </c>
      <c r="L8" s="287">
        <v>107.211183561719</v>
      </c>
      <c r="M8" s="287">
        <v>109.01421678070346</v>
      </c>
      <c r="N8" s="287">
        <v>109.10952975257204</v>
      </c>
      <c r="O8" s="1202">
        <v>99.1472313468511</v>
      </c>
      <c r="P8" s="1202">
        <v>105.23584981198506</v>
      </c>
      <c r="Q8" s="286">
        <v>112.66538872382159</v>
      </c>
      <c r="R8" s="917">
        <v>116.17986974551843</v>
      </c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</row>
    <row r="9" spans="1:56" s="167" customFormat="1" ht="19.5" customHeight="1" x14ac:dyDescent="0.2">
      <c r="A9" s="715" t="s">
        <v>384</v>
      </c>
      <c r="B9" s="280"/>
      <c r="C9" s="286">
        <v>91.891470888580201</v>
      </c>
      <c r="D9" s="287">
        <v>97.127089418105086</v>
      </c>
      <c r="E9" s="287">
        <v>97.664609563276798</v>
      </c>
      <c r="F9" s="287">
        <v>98.92459150303722</v>
      </c>
      <c r="G9" s="287">
        <v>96.88866768679074</v>
      </c>
      <c r="H9" s="287">
        <v>99.045010958115824</v>
      </c>
      <c r="I9" s="287">
        <v>99.769065893305481</v>
      </c>
      <c r="J9" s="287">
        <v>101.34689769491602</v>
      </c>
      <c r="K9" s="287">
        <v>101.40783074491209</v>
      </c>
      <c r="L9" s="287">
        <v>103.30583802741096</v>
      </c>
      <c r="M9" s="287">
        <v>102.1404556778172</v>
      </c>
      <c r="N9" s="287">
        <v>104.2923399866557</v>
      </c>
      <c r="O9" s="1202">
        <v>99.225777480440655</v>
      </c>
      <c r="P9" s="1202">
        <v>101.22508653080675</v>
      </c>
      <c r="Q9" s="286">
        <v>103.36735706015676</v>
      </c>
      <c r="R9" s="917">
        <v>103.36735706015676</v>
      </c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</row>
    <row r="10" spans="1:56" s="167" customFormat="1" ht="19.5" customHeight="1" x14ac:dyDescent="0.2">
      <c r="A10" s="283" t="s">
        <v>22</v>
      </c>
      <c r="B10" s="284"/>
      <c r="C10" s="292">
        <v>37.230027946765638</v>
      </c>
      <c r="D10" s="293">
        <v>38.350963499508715</v>
      </c>
      <c r="E10" s="293">
        <v>42.933390432855127</v>
      </c>
      <c r="F10" s="293">
        <v>44.026273075271682</v>
      </c>
      <c r="G10" s="293">
        <v>40.727389288744696</v>
      </c>
      <c r="H10" s="293">
        <v>41.547411833080801</v>
      </c>
      <c r="I10" s="293">
        <v>43.373855755570013</v>
      </c>
      <c r="J10" s="293">
        <v>44.164354112308423</v>
      </c>
      <c r="K10" s="293">
        <v>46.238365399061571</v>
      </c>
      <c r="L10" s="293">
        <v>45.629844008813002</v>
      </c>
      <c r="M10" s="293">
        <v>46.926601886048253</v>
      </c>
      <c r="N10" s="293">
        <v>45.998538271604943</v>
      </c>
      <c r="O10" s="1203">
        <v>43.932896716366784</v>
      </c>
      <c r="P10" s="1203">
        <v>45.709799310305847</v>
      </c>
      <c r="Q10" s="292">
        <v>47.922654478458057</v>
      </c>
      <c r="R10" s="918">
        <v>49.417552437641739</v>
      </c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</row>
    <row r="11" spans="1:56" s="173" customFormat="1" ht="19.5" customHeight="1" x14ac:dyDescent="0.2">
      <c r="A11" s="714" t="s">
        <v>385</v>
      </c>
      <c r="B11" s="279"/>
      <c r="C11" s="286">
        <v>76.892750907036046</v>
      </c>
      <c r="D11" s="287">
        <v>78.098543045254416</v>
      </c>
      <c r="E11" s="287">
        <v>105.92627407370804</v>
      </c>
      <c r="F11" s="287">
        <v>90.744888636014437</v>
      </c>
      <c r="G11" s="286">
        <v>90.310472239677949</v>
      </c>
      <c r="H11" s="287">
        <v>98.264296544009156</v>
      </c>
      <c r="I11" s="286">
        <v>106.42287427090491</v>
      </c>
      <c r="J11" s="287">
        <v>111.23862432641509</v>
      </c>
      <c r="K11" s="286">
        <v>116.48922829588595</v>
      </c>
      <c r="L11" s="286">
        <v>109.08219164240138</v>
      </c>
      <c r="M11" s="286">
        <v>110.9178209625516</v>
      </c>
      <c r="N11" s="287">
        <v>104.28796198503166</v>
      </c>
      <c r="O11" s="1210">
        <v>101.63695423135366</v>
      </c>
      <c r="P11" s="1202">
        <v>121.13396686707749</v>
      </c>
      <c r="Q11" s="286">
        <v>113.71350710854156</v>
      </c>
      <c r="R11" s="917">
        <v>101.76485575300229</v>
      </c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</row>
    <row r="12" spans="1:56" s="174" customFormat="1" ht="19.5" customHeight="1" x14ac:dyDescent="0.2">
      <c r="A12" s="714" t="s">
        <v>386</v>
      </c>
      <c r="B12" s="285"/>
      <c r="C12" s="286">
        <v>62.20879682650785</v>
      </c>
      <c r="D12" s="287">
        <v>64.611371477671739</v>
      </c>
      <c r="E12" s="287">
        <v>96.659870313810842</v>
      </c>
      <c r="F12" s="287">
        <v>98.638298541387229</v>
      </c>
      <c r="G12" s="286">
        <v>83.629743811705339</v>
      </c>
      <c r="H12" s="287">
        <v>91.221511142247522</v>
      </c>
      <c r="I12" s="286">
        <v>101.91378290510393</v>
      </c>
      <c r="J12" s="287">
        <v>103.45682679098083</v>
      </c>
      <c r="K12" s="286">
        <v>111.67350626031465</v>
      </c>
      <c r="L12" s="286">
        <v>110.84067971473375</v>
      </c>
      <c r="M12" s="286">
        <v>114.55257619366203</v>
      </c>
      <c r="N12" s="287">
        <v>116.37060217487311</v>
      </c>
      <c r="O12" s="1210">
        <v>106.08337257360949</v>
      </c>
      <c r="P12" s="1202">
        <v>118.01906341819617</v>
      </c>
      <c r="Q12" s="286">
        <v>123.53497476090173</v>
      </c>
      <c r="R12" s="917">
        <v>126.84781481526809</v>
      </c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</row>
    <row r="13" spans="1:56" s="174" customFormat="1" ht="16.5" customHeight="1" x14ac:dyDescent="0.2">
      <c r="A13" s="277" t="s">
        <v>398</v>
      </c>
      <c r="B13" s="278"/>
      <c r="C13" s="290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1211"/>
      <c r="P13" s="1211"/>
      <c r="Q13" s="290"/>
      <c r="R13" s="919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</row>
    <row r="14" spans="1:56" s="167" customFormat="1" ht="20.25" customHeight="1" x14ac:dyDescent="0.2">
      <c r="A14" s="714" t="s">
        <v>401</v>
      </c>
      <c r="B14" s="279"/>
      <c r="C14" s="286">
        <v>73.28151557971448</v>
      </c>
      <c r="D14" s="287">
        <v>80.426878776829497</v>
      </c>
      <c r="E14" s="287">
        <v>97.62315258512659</v>
      </c>
      <c r="F14" s="287">
        <v>114.19100897677082</v>
      </c>
      <c r="G14" s="287">
        <v>93.355476743470504</v>
      </c>
      <c r="H14" s="287">
        <v>96.953027506770368</v>
      </c>
      <c r="I14" s="287">
        <v>91.396535462755324</v>
      </c>
      <c r="J14" s="287">
        <v>95.145750450431009</v>
      </c>
      <c r="K14" s="287">
        <v>115.64764494044999</v>
      </c>
      <c r="L14" s="287">
        <v>124.47301912736283</v>
      </c>
      <c r="M14" s="287">
        <v>109.77477755633164</v>
      </c>
      <c r="N14" s="287">
        <v>113.05298563600792</v>
      </c>
      <c r="O14" s="1202">
        <v>101.88821433844333</v>
      </c>
      <c r="P14" s="1202">
        <v>111.5103202605827</v>
      </c>
      <c r="Q14" s="286">
        <v>108.55788410882425</v>
      </c>
      <c r="R14" s="917">
        <v>114.91817299168581</v>
      </c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</row>
    <row r="15" spans="1:56" s="167" customFormat="1" ht="20.25" customHeight="1" x14ac:dyDescent="0.2">
      <c r="A15" s="715" t="s">
        <v>387</v>
      </c>
      <c r="B15" s="280"/>
      <c r="C15" s="286">
        <v>91.833149051033033</v>
      </c>
      <c r="D15" s="287">
        <v>94.737488160106281</v>
      </c>
      <c r="E15" s="287">
        <v>98.112097541351034</v>
      </c>
      <c r="F15" s="287">
        <v>103.84683377436662</v>
      </c>
      <c r="G15" s="287">
        <v>97.020961287064836</v>
      </c>
      <c r="H15" s="287">
        <v>96.236712989148401</v>
      </c>
      <c r="I15" s="287">
        <v>99.087118609003539</v>
      </c>
      <c r="J15" s="287">
        <v>99.209335209920255</v>
      </c>
      <c r="K15" s="287">
        <v>102.04110703522882</v>
      </c>
      <c r="L15" s="287">
        <v>110.25937310704256</v>
      </c>
      <c r="M15" s="287">
        <v>104.22240972023458</v>
      </c>
      <c r="N15" s="287">
        <v>104.15976665044269</v>
      </c>
      <c r="O15" s="1202">
        <v>99.698954874609782</v>
      </c>
      <c r="P15" s="1202">
        <v>101.85521163061412</v>
      </c>
      <c r="Q15" s="286">
        <v>101.60761473248574</v>
      </c>
      <c r="R15" s="917">
        <v>102.84861226721804</v>
      </c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</row>
    <row r="16" spans="1:56" s="167" customFormat="1" ht="20.25" customHeight="1" x14ac:dyDescent="0.2">
      <c r="A16" s="283" t="s">
        <v>22</v>
      </c>
      <c r="B16" s="284"/>
      <c r="C16" s="292">
        <v>31.904591849446469</v>
      </c>
      <c r="D16" s="293">
        <v>33.94201151627815</v>
      </c>
      <c r="E16" s="293">
        <v>39.782172410245543</v>
      </c>
      <c r="F16" s="293">
        <v>43.963967492731229</v>
      </c>
      <c r="G16" s="293">
        <v>38.470909637911127</v>
      </c>
      <c r="H16" s="293">
        <v>40.279013138783824</v>
      </c>
      <c r="I16" s="293">
        <v>36.878288818511187</v>
      </c>
      <c r="J16" s="293">
        <v>38.343794096644459</v>
      </c>
      <c r="K16" s="293">
        <v>45.312691468990714</v>
      </c>
      <c r="L16" s="293">
        <v>45.13546615037091</v>
      </c>
      <c r="M16" s="293">
        <v>42.111400298981046</v>
      </c>
      <c r="N16" s="293">
        <v>43.39505721968969</v>
      </c>
      <c r="O16" s="1203">
        <v>40.859361217379288</v>
      </c>
      <c r="P16" s="1203">
        <v>43.771359445477387</v>
      </c>
      <c r="Q16" s="292">
        <v>42.716271785640636</v>
      </c>
      <c r="R16" s="918">
        <v>44.673348271197774</v>
      </c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</row>
    <row r="17" spans="1:55" s="167" customFormat="1" ht="20.25" customHeight="1" x14ac:dyDescent="0.2">
      <c r="A17" s="716" t="s">
        <v>388</v>
      </c>
      <c r="B17" s="282"/>
      <c r="C17" s="286">
        <v>67.133601899349699</v>
      </c>
      <c r="D17" s="287">
        <v>73.0597979118278</v>
      </c>
      <c r="E17" s="287">
        <v>106.82365846722075</v>
      </c>
      <c r="F17" s="287">
        <v>112.8895330896234</v>
      </c>
      <c r="G17" s="287">
        <v>100.07048209535962</v>
      </c>
      <c r="H17" s="287">
        <v>95.547680226874974</v>
      </c>
      <c r="I17" s="287">
        <v>92.914084802537047</v>
      </c>
      <c r="J17" s="287">
        <v>96.992758965345928</v>
      </c>
      <c r="K17" s="287">
        <v>108.10938802053218</v>
      </c>
      <c r="L17" s="287">
        <v>145.45080127302663</v>
      </c>
      <c r="M17" s="287">
        <v>109.53798253320595</v>
      </c>
      <c r="N17" s="287">
        <v>107.17111743846235</v>
      </c>
      <c r="O17" s="1202">
        <v>105.49253553553936</v>
      </c>
      <c r="P17" s="1202">
        <v>115.06879080330361</v>
      </c>
      <c r="Q17" s="286">
        <v>116.09661967004089</v>
      </c>
      <c r="R17" s="917">
        <v>117.12901858641702</v>
      </c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</row>
    <row r="18" spans="1:55" s="167" customFormat="1" ht="20.25" customHeight="1" x14ac:dyDescent="0.2">
      <c r="A18" s="849" t="s">
        <v>389</v>
      </c>
      <c r="B18" s="281"/>
      <c r="C18" s="288">
        <v>71.098371158744271</v>
      </c>
      <c r="D18" s="289">
        <v>74.941564195820419</v>
      </c>
      <c r="E18" s="289">
        <v>91.385597426475755</v>
      </c>
      <c r="F18" s="289">
        <v>113.58239779499739</v>
      </c>
      <c r="G18" s="289">
        <v>77.312512297733321</v>
      </c>
      <c r="H18" s="289">
        <v>91.594734810319139</v>
      </c>
      <c r="I18" s="289">
        <v>97.516781687796737</v>
      </c>
      <c r="J18" s="289">
        <v>94.123028042380881</v>
      </c>
      <c r="K18" s="289">
        <v>118.12087878824764</v>
      </c>
      <c r="L18" s="289">
        <v>127.1825962807484</v>
      </c>
      <c r="M18" s="289">
        <v>105.44464054690515</v>
      </c>
      <c r="N18" s="289">
        <v>110.67184582699296</v>
      </c>
      <c r="O18" s="1204">
        <v>100.00000000000003</v>
      </c>
      <c r="P18" s="1204">
        <v>127.64094333514267</v>
      </c>
      <c r="Q18" s="288">
        <v>115.45423628512026</v>
      </c>
      <c r="R18" s="920">
        <v>122.16066481994466</v>
      </c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</row>
    <row r="19" spans="1:55" s="175" customFormat="1" ht="17.25" customHeight="1" x14ac:dyDescent="0.2">
      <c r="A19" s="164" t="s">
        <v>390</v>
      </c>
      <c r="B19" s="165"/>
      <c r="C19" s="210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921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</row>
    <row r="20" spans="1:55" s="177" customFormat="1" ht="21" customHeight="1" x14ac:dyDescent="0.2">
      <c r="A20" s="176" t="s">
        <v>99</v>
      </c>
      <c r="B20" s="294" t="s">
        <v>364</v>
      </c>
      <c r="C20" s="117">
        <v>46.28</v>
      </c>
      <c r="D20" s="118">
        <v>53.96</v>
      </c>
      <c r="E20" s="118">
        <v>48.53</v>
      </c>
      <c r="F20" s="118">
        <v>51.1</v>
      </c>
      <c r="G20" s="119">
        <v>44.62</v>
      </c>
      <c r="H20" s="118">
        <v>54.88</v>
      </c>
      <c r="I20" s="119">
        <v>52.91</v>
      </c>
      <c r="J20" s="118">
        <v>49.42</v>
      </c>
      <c r="K20" s="119">
        <v>49.78</v>
      </c>
      <c r="L20" s="119">
        <v>58.24</v>
      </c>
      <c r="M20" s="119">
        <v>51.65</v>
      </c>
      <c r="N20" s="118">
        <v>52.84</v>
      </c>
      <c r="O20" s="119">
        <v>47.16</v>
      </c>
      <c r="P20" s="118">
        <v>51.48</v>
      </c>
      <c r="Q20" s="119">
        <v>47.43</v>
      </c>
      <c r="R20" s="922">
        <v>46.71</v>
      </c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</row>
    <row r="21" spans="1:55" s="174" customFormat="1" ht="21" customHeight="1" x14ac:dyDescent="0.2">
      <c r="A21" s="168"/>
      <c r="B21" s="504" t="s">
        <v>285</v>
      </c>
      <c r="C21" s="121">
        <v>39.44</v>
      </c>
      <c r="D21" s="110">
        <v>45.36</v>
      </c>
      <c r="E21" s="110">
        <v>50.72</v>
      </c>
      <c r="F21" s="110">
        <v>55.03</v>
      </c>
      <c r="G21" s="109">
        <v>43.67</v>
      </c>
      <c r="H21" s="110">
        <v>44.13</v>
      </c>
      <c r="I21" s="109">
        <v>51.25</v>
      </c>
      <c r="J21" s="110">
        <v>52.4</v>
      </c>
      <c r="K21" s="109">
        <v>52.06</v>
      </c>
      <c r="L21" s="109">
        <v>52.86</v>
      </c>
      <c r="M21" s="109">
        <v>56.27</v>
      </c>
      <c r="N21" s="110">
        <v>57.07</v>
      </c>
      <c r="O21" s="109">
        <v>50.46</v>
      </c>
      <c r="P21" s="110">
        <v>59.82</v>
      </c>
      <c r="Q21" s="109">
        <v>52.26</v>
      </c>
      <c r="R21" s="923">
        <v>54.09</v>
      </c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</row>
    <row r="22" spans="1:55" s="174" customFormat="1" ht="21" customHeight="1" x14ac:dyDescent="0.2">
      <c r="A22" s="168"/>
      <c r="B22" s="504" t="s">
        <v>286</v>
      </c>
      <c r="C22" s="121">
        <v>41.59</v>
      </c>
      <c r="D22" s="110">
        <v>47.44</v>
      </c>
      <c r="E22" s="110">
        <v>50.94</v>
      </c>
      <c r="F22" s="110">
        <v>55.24</v>
      </c>
      <c r="G22" s="109">
        <v>46.84</v>
      </c>
      <c r="H22" s="110">
        <v>49.37</v>
      </c>
      <c r="I22" s="109">
        <v>49.69</v>
      </c>
      <c r="J22" s="110">
        <v>46.93</v>
      </c>
      <c r="K22" s="109">
        <v>54.77</v>
      </c>
      <c r="L22" s="109">
        <v>53.48</v>
      </c>
      <c r="M22" s="109">
        <v>48.68</v>
      </c>
      <c r="N22" s="110">
        <v>52.96</v>
      </c>
      <c r="O22" s="122">
        <v>48.5</v>
      </c>
      <c r="P22" s="110">
        <v>53.72</v>
      </c>
      <c r="Q22" s="109">
        <v>50.78</v>
      </c>
      <c r="R22" s="923">
        <v>52.41</v>
      </c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</row>
    <row r="23" spans="1:55" s="174" customFormat="1" ht="21" customHeight="1" x14ac:dyDescent="0.2">
      <c r="A23" s="204"/>
      <c r="B23" s="295" t="s">
        <v>101</v>
      </c>
      <c r="C23" s="622">
        <v>4.8359320000000006</v>
      </c>
      <c r="D23" s="623">
        <v>5.82172</v>
      </c>
      <c r="E23" s="623">
        <v>6.5606439999999999</v>
      </c>
      <c r="F23" s="623">
        <v>7.2787179999999996</v>
      </c>
      <c r="G23" s="624">
        <v>5.6181445714285712</v>
      </c>
      <c r="H23" s="623">
        <v>5.8592897142857145</v>
      </c>
      <c r="I23" s="624">
        <v>6.488768363636364</v>
      </c>
      <c r="J23" s="623">
        <v>6.3752670588235283</v>
      </c>
      <c r="K23" s="624">
        <v>6.9466192000000007</v>
      </c>
      <c r="L23" s="624">
        <v>6.9509560000000015</v>
      </c>
      <c r="M23" s="624">
        <v>6.9349783157894755</v>
      </c>
      <c r="N23" s="623">
        <v>7.2587019999999995</v>
      </c>
      <c r="O23" s="625">
        <v>6.3454720000000009</v>
      </c>
      <c r="P23" s="623">
        <v>7.5246602105263154</v>
      </c>
      <c r="Q23" s="624">
        <v>6.6784789333333343</v>
      </c>
      <c r="R23" s="924">
        <v>6.9864229473684212</v>
      </c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</row>
    <row r="24" spans="1:55" s="174" customFormat="1" ht="21" customHeight="1" x14ac:dyDescent="0.2">
      <c r="A24" s="176" t="s">
        <v>100</v>
      </c>
      <c r="B24" s="294" t="s">
        <v>364</v>
      </c>
      <c r="C24" s="117">
        <v>60.75</v>
      </c>
      <c r="D24" s="118">
        <v>64.17</v>
      </c>
      <c r="E24" s="118">
        <v>64.66</v>
      </c>
      <c r="F24" s="118">
        <v>53.59</v>
      </c>
      <c r="G24" s="119">
        <v>56.49</v>
      </c>
      <c r="H24" s="118">
        <v>58.43</v>
      </c>
      <c r="I24" s="119">
        <v>61.25</v>
      </c>
      <c r="J24" s="118">
        <v>56.72</v>
      </c>
      <c r="K24" s="119">
        <v>54.93</v>
      </c>
      <c r="L24" s="119">
        <v>42.15</v>
      </c>
      <c r="M24" s="119">
        <v>56.82</v>
      </c>
      <c r="N24" s="118">
        <v>63.12</v>
      </c>
      <c r="O24" s="119">
        <v>56.04</v>
      </c>
      <c r="P24" s="118">
        <v>59.69</v>
      </c>
      <c r="Q24" s="119">
        <v>52.39</v>
      </c>
      <c r="R24" s="922">
        <v>53.2</v>
      </c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</row>
    <row r="25" spans="1:55" s="174" customFormat="1" ht="21" customHeight="1" x14ac:dyDescent="0.2">
      <c r="A25" s="168"/>
      <c r="B25" s="504" t="s">
        <v>285</v>
      </c>
      <c r="C25" s="121">
        <v>65.3</v>
      </c>
      <c r="D25" s="110">
        <v>65.23</v>
      </c>
      <c r="E25" s="110">
        <v>66.510000000000005</v>
      </c>
      <c r="F25" s="110">
        <v>56.94</v>
      </c>
      <c r="G25" s="109">
        <v>61.65</v>
      </c>
      <c r="H25" s="110">
        <v>58.58</v>
      </c>
      <c r="I25" s="109">
        <v>67.099999999999994</v>
      </c>
      <c r="J25" s="110">
        <v>57.04</v>
      </c>
      <c r="K25" s="109">
        <v>60.04</v>
      </c>
      <c r="L25" s="109">
        <v>48.32</v>
      </c>
      <c r="M25" s="109">
        <v>59.01</v>
      </c>
      <c r="N25" s="110">
        <v>62.63</v>
      </c>
      <c r="O25" s="109">
        <v>53.93</v>
      </c>
      <c r="P25" s="110">
        <v>63.42</v>
      </c>
      <c r="Q25" s="109">
        <v>50.83</v>
      </c>
      <c r="R25" s="923">
        <v>56.49</v>
      </c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</row>
    <row r="26" spans="1:55" s="207" customFormat="1" ht="21" customHeight="1" x14ac:dyDescent="0.2">
      <c r="A26" s="204"/>
      <c r="B26" s="504" t="s">
        <v>286</v>
      </c>
      <c r="C26" s="205">
        <v>56.25</v>
      </c>
      <c r="D26" s="202">
        <v>53.91</v>
      </c>
      <c r="E26" s="202">
        <v>51.7</v>
      </c>
      <c r="F26" s="202">
        <v>48.43</v>
      </c>
      <c r="G26" s="203">
        <v>52.13</v>
      </c>
      <c r="H26" s="202">
        <v>51.18</v>
      </c>
      <c r="I26" s="203">
        <v>58.98</v>
      </c>
      <c r="J26" s="202">
        <v>48.85</v>
      </c>
      <c r="K26" s="203">
        <v>51.11</v>
      </c>
      <c r="L26" s="203">
        <v>45.18</v>
      </c>
      <c r="M26" s="203">
        <v>51.55</v>
      </c>
      <c r="N26" s="202">
        <v>54.91</v>
      </c>
      <c r="O26" s="203">
        <v>47.73</v>
      </c>
      <c r="P26" s="202">
        <v>57.51</v>
      </c>
      <c r="Q26" s="203">
        <v>41.71</v>
      </c>
      <c r="R26" s="925">
        <v>47.93</v>
      </c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</row>
    <row r="27" spans="1:55" s="179" customFormat="1" ht="21" customHeight="1" x14ac:dyDescent="0.2">
      <c r="A27" s="178"/>
      <c r="B27" s="296" t="s">
        <v>101</v>
      </c>
      <c r="C27" s="626">
        <v>7.9399798863636342</v>
      </c>
      <c r="D27" s="627">
        <v>7.5844251052631595</v>
      </c>
      <c r="E27" s="627">
        <v>7.5496505000000003</v>
      </c>
      <c r="F27" s="627">
        <v>6.17822988</v>
      </c>
      <c r="G27" s="628">
        <v>7.1358783333333342</v>
      </c>
      <c r="H27" s="627">
        <v>6.6704279999999994</v>
      </c>
      <c r="I27" s="628">
        <v>8.3317898260869576</v>
      </c>
      <c r="J27" s="627">
        <v>6.284463705882354</v>
      </c>
      <c r="K27" s="628">
        <v>7.0008908000000005</v>
      </c>
      <c r="L27" s="628">
        <v>4.9785750000000011</v>
      </c>
      <c r="M27" s="628">
        <v>6.876227947368422</v>
      </c>
      <c r="N27" s="627">
        <v>7.4799369999999996</v>
      </c>
      <c r="O27" s="629">
        <v>5.8545025833333337</v>
      </c>
      <c r="P27" s="627">
        <v>7.832666500000002</v>
      </c>
      <c r="Q27" s="628">
        <v>4.8997744666666669</v>
      </c>
      <c r="R27" s="926">
        <v>6.2554327894736836</v>
      </c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</row>
    <row r="28" spans="1:55" s="180" customFormat="1" ht="21" customHeight="1" x14ac:dyDescent="0.2">
      <c r="A28" s="164" t="s">
        <v>391</v>
      </c>
      <c r="B28" s="297"/>
      <c r="C28" s="210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921"/>
      <c r="S28" s="25"/>
      <c r="T28" s="25"/>
      <c r="U28" s="170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</row>
    <row r="29" spans="1:55" s="182" customFormat="1" ht="21" customHeight="1" x14ac:dyDescent="0.2">
      <c r="A29" s="181" t="s">
        <v>100</v>
      </c>
      <c r="B29" s="294" t="s">
        <v>364</v>
      </c>
      <c r="C29" s="870">
        <v>46.23</v>
      </c>
      <c r="D29" s="123">
        <v>40.82</v>
      </c>
      <c r="E29" s="123">
        <v>41.58</v>
      </c>
      <c r="F29" s="123">
        <v>35.049999999999997</v>
      </c>
      <c r="G29" s="124">
        <v>40.5</v>
      </c>
      <c r="H29" s="123">
        <v>40.9</v>
      </c>
      <c r="I29" s="124">
        <v>35.89</v>
      </c>
      <c r="J29" s="123">
        <v>38.64</v>
      </c>
      <c r="K29" s="124">
        <v>39.369999999999997</v>
      </c>
      <c r="L29" s="124">
        <v>36.28</v>
      </c>
      <c r="M29" s="124">
        <v>40.17</v>
      </c>
      <c r="N29" s="123">
        <v>32.909999999999997</v>
      </c>
      <c r="O29" s="1206">
        <v>36.340000000000003</v>
      </c>
      <c r="P29" s="1205">
        <v>35.159999999999997</v>
      </c>
      <c r="Q29" s="124">
        <v>32.799999999999997</v>
      </c>
      <c r="R29" s="927">
        <v>30.39</v>
      </c>
      <c r="S29" s="25"/>
      <c r="T29" s="25"/>
      <c r="U29" s="170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</row>
    <row r="30" spans="1:55" s="184" customFormat="1" ht="21" customHeight="1" x14ac:dyDescent="0.2">
      <c r="A30" s="183"/>
      <c r="B30" s="504" t="s">
        <v>285</v>
      </c>
      <c r="C30" s="125">
        <v>62.01</v>
      </c>
      <c r="D30" s="126">
        <v>69.260000000000005</v>
      </c>
      <c r="E30" s="126">
        <v>59.94</v>
      </c>
      <c r="F30" s="126">
        <v>53.54</v>
      </c>
      <c r="G30" s="127">
        <v>59.63</v>
      </c>
      <c r="H30" s="126">
        <v>57.15</v>
      </c>
      <c r="I30" s="127">
        <v>62.08</v>
      </c>
      <c r="J30" s="126">
        <v>55.86</v>
      </c>
      <c r="K30" s="127">
        <v>53.11</v>
      </c>
      <c r="L30" s="127">
        <v>42.69</v>
      </c>
      <c r="M30" s="127">
        <v>54.95</v>
      </c>
      <c r="N30" s="126">
        <v>60.86</v>
      </c>
      <c r="O30" s="1207">
        <v>53.69</v>
      </c>
      <c r="P30" s="1193">
        <v>54.94</v>
      </c>
      <c r="Q30" s="127">
        <v>49.82</v>
      </c>
      <c r="R30" s="928">
        <v>50.36</v>
      </c>
      <c r="S30" s="25"/>
      <c r="T30" s="25"/>
      <c r="U30" s="170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</row>
    <row r="31" spans="1:55" s="184" customFormat="1" ht="21" customHeight="1" x14ac:dyDescent="0.2">
      <c r="A31" s="183"/>
      <c r="B31" s="505" t="s">
        <v>286</v>
      </c>
      <c r="C31" s="125">
        <v>52.14</v>
      </c>
      <c r="D31" s="126">
        <v>46.16</v>
      </c>
      <c r="E31" s="126">
        <v>51.71</v>
      </c>
      <c r="F31" s="126">
        <v>48.81</v>
      </c>
      <c r="G31" s="127">
        <v>50.79</v>
      </c>
      <c r="H31" s="126">
        <v>48.91</v>
      </c>
      <c r="I31" s="127">
        <v>47.66</v>
      </c>
      <c r="J31" s="126">
        <v>47.42</v>
      </c>
      <c r="K31" s="127">
        <v>49.38</v>
      </c>
      <c r="L31" s="127">
        <v>43.73</v>
      </c>
      <c r="M31" s="127">
        <v>48.6</v>
      </c>
      <c r="N31" s="126">
        <v>46.67</v>
      </c>
      <c r="O31" s="1207">
        <v>44.35</v>
      </c>
      <c r="P31" s="1193">
        <v>45.7</v>
      </c>
      <c r="Q31" s="127">
        <v>40.33</v>
      </c>
      <c r="R31" s="928">
        <v>48.02</v>
      </c>
      <c r="S31" s="25"/>
      <c r="T31" s="25"/>
      <c r="U31" s="170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</row>
    <row r="32" spans="1:55" s="184" customFormat="1" ht="21" customHeight="1" x14ac:dyDescent="0.2">
      <c r="A32" s="216"/>
      <c r="B32" s="221" t="s">
        <v>101</v>
      </c>
      <c r="C32" s="630">
        <v>8.874219813953486</v>
      </c>
      <c r="D32" s="631">
        <v>8.7795682105263158</v>
      </c>
      <c r="E32" s="631">
        <v>8.3984800000000011</v>
      </c>
      <c r="F32" s="631">
        <v>6.9826913599999987</v>
      </c>
      <c r="G32" s="632">
        <v>8.277770095238095</v>
      </c>
      <c r="H32" s="631">
        <v>7.5644519999999975</v>
      </c>
      <c r="I32" s="632">
        <v>8.1135079999999977</v>
      </c>
      <c r="J32" s="631">
        <v>7.2000459199999973</v>
      </c>
      <c r="K32" s="632">
        <v>7.1431111999999999</v>
      </c>
      <c r="L32" s="632">
        <v>4.6341639999999984</v>
      </c>
      <c r="M32" s="632">
        <v>7.3395526315789468</v>
      </c>
      <c r="N32" s="631">
        <v>7.7837760000000014</v>
      </c>
      <c r="O32" s="1209">
        <v>6.425931666666667</v>
      </c>
      <c r="P32" s="1208">
        <v>6.8283463157894744</v>
      </c>
      <c r="Q32" s="632">
        <v>5.2550394545454537</v>
      </c>
      <c r="R32" s="929">
        <v>6.473721473684213</v>
      </c>
      <c r="S32" s="25"/>
      <c r="T32" s="25"/>
      <c r="U32" s="170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</row>
    <row r="33" spans="1:55" s="185" customFormat="1" ht="9.75" customHeight="1" x14ac:dyDescent="0.2">
      <c r="A33" s="217"/>
      <c r="B33" s="218"/>
      <c r="C33" s="210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921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</row>
    <row r="34" spans="1:55" s="171" customFormat="1" ht="17.25" customHeight="1" x14ac:dyDescent="0.2">
      <c r="A34" s="145"/>
      <c r="B34" s="276" t="s">
        <v>9</v>
      </c>
      <c r="C34" s="112">
        <v>2001</v>
      </c>
      <c r="D34" s="113">
        <v>1969</v>
      </c>
      <c r="E34" s="677">
        <v>2019</v>
      </c>
      <c r="F34" s="113">
        <v>1994</v>
      </c>
      <c r="G34" s="114">
        <v>2013</v>
      </c>
      <c r="H34" s="114">
        <v>2011</v>
      </c>
      <c r="I34" s="113">
        <v>2003</v>
      </c>
      <c r="J34" s="113">
        <v>1997</v>
      </c>
      <c r="K34" s="114">
        <v>2018</v>
      </c>
      <c r="L34" s="114">
        <v>2021</v>
      </c>
      <c r="M34" s="114">
        <v>2015</v>
      </c>
      <c r="N34" s="114">
        <v>2009</v>
      </c>
      <c r="O34" s="114">
        <v>1985</v>
      </c>
      <c r="P34" s="113">
        <v>2001</v>
      </c>
      <c r="Q34" s="112">
        <v>1981</v>
      </c>
      <c r="R34" s="930">
        <v>2015</v>
      </c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</row>
    <row r="35" spans="1:55" s="171" customFormat="1" ht="17.25" customHeight="1" x14ac:dyDescent="0.2">
      <c r="A35" s="145"/>
      <c r="B35" s="1289" t="s">
        <v>405</v>
      </c>
      <c r="C35" s="1290" t="s">
        <v>413</v>
      </c>
      <c r="D35" s="1290" t="s">
        <v>413</v>
      </c>
      <c r="E35" s="1290" t="s">
        <v>407</v>
      </c>
      <c r="F35" s="1290" t="s">
        <v>413</v>
      </c>
      <c r="G35" s="1290" t="s">
        <v>407</v>
      </c>
      <c r="H35" s="1290" t="s">
        <v>407</v>
      </c>
      <c r="I35" s="1290" t="s">
        <v>443</v>
      </c>
      <c r="J35" s="1290" t="s">
        <v>413</v>
      </c>
      <c r="K35" s="1290" t="s">
        <v>413</v>
      </c>
      <c r="L35" s="1290" t="s">
        <v>413</v>
      </c>
      <c r="M35" s="1290" t="s">
        <v>407</v>
      </c>
      <c r="N35" s="1290" t="s">
        <v>415</v>
      </c>
      <c r="O35" s="1290" t="s">
        <v>413</v>
      </c>
      <c r="P35" s="1290" t="s">
        <v>443</v>
      </c>
      <c r="Q35" s="1290" t="s">
        <v>407</v>
      </c>
      <c r="R35" s="1290" t="s">
        <v>415</v>
      </c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</row>
    <row r="36" spans="1:55" s="171" customFormat="1" ht="17.25" customHeight="1" x14ac:dyDescent="0.2">
      <c r="A36" s="145"/>
      <c r="B36" s="1289" t="s">
        <v>406</v>
      </c>
      <c r="C36" s="1290" t="s">
        <v>414</v>
      </c>
      <c r="D36" s="1290" t="s">
        <v>410</v>
      </c>
      <c r="E36" s="1290" t="s">
        <v>419</v>
      </c>
      <c r="F36" s="1290" t="s">
        <v>414</v>
      </c>
      <c r="G36" s="1290" t="s">
        <v>408</v>
      </c>
      <c r="H36" s="1290" t="s">
        <v>408</v>
      </c>
      <c r="I36" s="1290" t="s">
        <v>419</v>
      </c>
      <c r="J36" s="1290" t="s">
        <v>414</v>
      </c>
      <c r="K36" s="1290" t="s">
        <v>414</v>
      </c>
      <c r="L36" s="1290" t="s">
        <v>414</v>
      </c>
      <c r="M36" s="1291" t="s">
        <v>408</v>
      </c>
      <c r="N36" s="1290" t="s">
        <v>419</v>
      </c>
      <c r="O36" s="1291" t="s">
        <v>410</v>
      </c>
      <c r="P36" s="1291" t="s">
        <v>410</v>
      </c>
      <c r="Q36" s="1290" t="s">
        <v>414</v>
      </c>
      <c r="R36" s="1290" t="s">
        <v>408</v>
      </c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</row>
    <row r="37" spans="1:55" s="180" customFormat="1" ht="17.25" customHeight="1" x14ac:dyDescent="0.2">
      <c r="A37" s="186" t="s">
        <v>392</v>
      </c>
      <c r="B37" s="187"/>
      <c r="C37" s="210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921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</row>
    <row r="38" spans="1:55" s="185" customFormat="1" ht="19.899999999999999" customHeight="1" x14ac:dyDescent="0.2">
      <c r="A38" s="188" t="s">
        <v>28</v>
      </c>
      <c r="B38" s="189"/>
      <c r="C38" s="128">
        <v>23</v>
      </c>
      <c r="D38" s="129">
        <v>10</v>
      </c>
      <c r="E38" s="129">
        <v>5</v>
      </c>
      <c r="F38" s="129">
        <v>13</v>
      </c>
      <c r="G38" s="128">
        <v>11</v>
      </c>
      <c r="H38" s="129">
        <v>11</v>
      </c>
      <c r="I38" s="128">
        <v>11</v>
      </c>
      <c r="J38" s="129">
        <v>26</v>
      </c>
      <c r="K38" s="128">
        <v>9</v>
      </c>
      <c r="L38" s="128">
        <v>5</v>
      </c>
      <c r="M38" s="128">
        <v>11</v>
      </c>
      <c r="N38" s="129">
        <v>16</v>
      </c>
      <c r="O38" s="128">
        <v>26</v>
      </c>
      <c r="P38" s="129">
        <v>10</v>
      </c>
      <c r="Q38" s="128">
        <v>23</v>
      </c>
      <c r="R38" s="931">
        <v>11</v>
      </c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</row>
    <row r="39" spans="1:55" s="190" customFormat="1" ht="19.899999999999999" customHeight="1" thickBot="1" x14ac:dyDescent="0.25">
      <c r="A39" s="364" t="s">
        <v>29</v>
      </c>
      <c r="B39" s="365"/>
      <c r="C39" s="366">
        <v>21</v>
      </c>
      <c r="D39" s="367">
        <v>10</v>
      </c>
      <c r="E39" s="367">
        <v>5</v>
      </c>
      <c r="F39" s="367">
        <v>13</v>
      </c>
      <c r="G39" s="366">
        <v>10</v>
      </c>
      <c r="H39" s="367">
        <v>10</v>
      </c>
      <c r="I39" s="366">
        <v>12</v>
      </c>
      <c r="J39" s="367">
        <v>25</v>
      </c>
      <c r="K39" s="366">
        <v>6</v>
      </c>
      <c r="L39" s="366">
        <v>5</v>
      </c>
      <c r="M39" s="366">
        <v>8</v>
      </c>
      <c r="N39" s="367">
        <v>15</v>
      </c>
      <c r="O39" s="366">
        <v>23</v>
      </c>
      <c r="P39" s="367">
        <v>10</v>
      </c>
      <c r="Q39" s="366">
        <v>22</v>
      </c>
      <c r="R39" s="932">
        <v>8</v>
      </c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</row>
    <row r="40" spans="1:55" s="6" customFormat="1" ht="12" customHeight="1" x14ac:dyDescent="0.2">
      <c r="B40" s="191"/>
      <c r="C40" s="363"/>
      <c r="D40" s="363"/>
      <c r="E40" s="363"/>
      <c r="F40" s="363"/>
      <c r="G40" s="363"/>
      <c r="H40" s="363"/>
      <c r="I40" s="363"/>
      <c r="J40" s="363"/>
      <c r="K40" s="363"/>
      <c r="L40" s="363"/>
      <c r="M40" s="363"/>
      <c r="N40" s="363"/>
      <c r="O40" s="363"/>
      <c r="P40" s="363"/>
      <c r="Q40" s="363"/>
      <c r="R40" s="363"/>
      <c r="S40" s="363"/>
    </row>
    <row r="41" spans="1:55" s="18" customFormat="1" ht="16.5" customHeight="1" x14ac:dyDescent="0.2">
      <c r="A41" s="191" t="s">
        <v>143</v>
      </c>
      <c r="B41" s="1"/>
      <c r="C41" s="9"/>
      <c r="D41" s="9"/>
      <c r="F41" s="94"/>
      <c r="G41" s="9"/>
      <c r="I41" s="9"/>
      <c r="J41" s="9"/>
      <c r="K41" s="9"/>
      <c r="L41" s="9"/>
      <c r="O41" s="19"/>
      <c r="P41" s="19"/>
      <c r="R41" s="19"/>
    </row>
    <row r="42" spans="1:55" s="18" customFormat="1" x14ac:dyDescent="0.2">
      <c r="A42" s="807" t="s">
        <v>402</v>
      </c>
      <c r="D42" s="9"/>
      <c r="G42" s="9"/>
      <c r="J42" s="9"/>
      <c r="N42" s="9"/>
      <c r="O42" s="19"/>
      <c r="P42" s="19"/>
      <c r="R42" s="19"/>
      <c r="S42" s="9"/>
    </row>
    <row r="43" spans="1:55" s="18" customFormat="1" x14ac:dyDescent="0.2">
      <c r="D43" s="9"/>
      <c r="G43" s="9"/>
      <c r="J43" s="9"/>
      <c r="N43" s="9"/>
      <c r="O43" s="19"/>
      <c r="P43" s="19"/>
      <c r="R43" s="19"/>
      <c r="S43" s="9"/>
    </row>
    <row r="44" spans="1:55" s="18" customFormat="1" x14ac:dyDescent="0.2">
      <c r="C44" s="528"/>
      <c r="D44" s="528"/>
      <c r="E44" s="528"/>
    </row>
    <row r="45" spans="1:55" s="18" customFormat="1" x14ac:dyDescent="0.2">
      <c r="C45" s="1278" t="s">
        <v>367</v>
      </c>
      <c r="D45" s="9"/>
      <c r="G45" s="9"/>
      <c r="J45" s="9"/>
      <c r="N45" s="9"/>
      <c r="O45" s="19"/>
      <c r="P45" s="19"/>
      <c r="R45" s="19"/>
      <c r="S45" s="9"/>
    </row>
    <row r="46" spans="1:55" s="18" customFormat="1" x14ac:dyDescent="0.2">
      <c r="C46" s="1278" t="s">
        <v>368</v>
      </c>
      <c r="D46" s="648"/>
      <c r="E46" s="648"/>
      <c r="F46" s="648"/>
      <c r="G46" s="648"/>
      <c r="H46" s="648"/>
      <c r="I46" s="648"/>
      <c r="J46" s="648"/>
      <c r="K46" s="648"/>
      <c r="L46" s="648"/>
      <c r="M46" s="648"/>
      <c r="N46" s="648"/>
      <c r="O46" s="648"/>
      <c r="P46" s="648"/>
      <c r="Q46" s="648"/>
      <c r="R46" s="648"/>
      <c r="S46" s="9"/>
    </row>
    <row r="47" spans="1:55" s="18" customFormat="1" x14ac:dyDescent="0.2">
      <c r="C47" s="1278" t="s">
        <v>369</v>
      </c>
      <c r="D47" s="9"/>
    </row>
    <row r="48" spans="1:55" s="18" customFormat="1" x14ac:dyDescent="0.2">
      <c r="C48" s="1278" t="s">
        <v>370</v>
      </c>
      <c r="D48" s="9"/>
      <c r="G48" s="9"/>
      <c r="J48" s="9"/>
      <c r="N48" s="9"/>
      <c r="O48" s="19"/>
      <c r="P48" s="19"/>
      <c r="R48" s="19"/>
      <c r="S48" s="9"/>
    </row>
    <row r="49" spans="4:19" s="18" customFormat="1" x14ac:dyDescent="0.2">
      <c r="D49" s="9"/>
      <c r="G49" s="9"/>
      <c r="J49" s="9"/>
      <c r="N49" s="9"/>
      <c r="O49" s="19"/>
      <c r="P49" s="19"/>
      <c r="R49" s="19"/>
      <c r="S49" s="9"/>
    </row>
    <row r="50" spans="4:19" s="18" customFormat="1" x14ac:dyDescent="0.2">
      <c r="D50" s="9"/>
      <c r="G50" s="9"/>
      <c r="J50" s="9"/>
      <c r="N50" s="9"/>
      <c r="O50" s="19"/>
      <c r="P50" s="19"/>
      <c r="R50" s="19"/>
      <c r="S50" s="9"/>
    </row>
    <row r="51" spans="4:19" s="18" customFormat="1" x14ac:dyDescent="0.2">
      <c r="D51" s="9"/>
      <c r="G51" s="9"/>
      <c r="J51" s="9"/>
      <c r="N51" s="9"/>
      <c r="O51" s="19"/>
      <c r="P51" s="19"/>
      <c r="R51" s="19"/>
      <c r="S51" s="9"/>
    </row>
    <row r="52" spans="4:19" s="18" customFormat="1" x14ac:dyDescent="0.2">
      <c r="D52" s="9"/>
      <c r="G52" s="9"/>
      <c r="J52" s="9"/>
      <c r="N52" s="9"/>
      <c r="O52" s="19"/>
      <c r="P52" s="19"/>
      <c r="R52" s="19"/>
      <c r="S52" s="9"/>
    </row>
    <row r="53" spans="4:19" s="18" customFormat="1" x14ac:dyDescent="0.2">
      <c r="D53" s="9"/>
      <c r="G53" s="9"/>
      <c r="J53" s="9"/>
      <c r="N53" s="9"/>
      <c r="O53" s="19"/>
      <c r="P53" s="19"/>
      <c r="R53" s="19"/>
      <c r="S53" s="9"/>
    </row>
    <row r="54" spans="4:19" s="18" customFormat="1" x14ac:dyDescent="0.2">
      <c r="D54" s="9"/>
      <c r="G54" s="9"/>
      <c r="J54" s="9"/>
      <c r="N54" s="9"/>
      <c r="O54" s="19"/>
      <c r="P54" s="19"/>
      <c r="R54" s="19"/>
      <c r="S54" s="9"/>
    </row>
    <row r="55" spans="4:19" s="18" customFormat="1" x14ac:dyDescent="0.2">
      <c r="D55" s="9"/>
      <c r="G55" s="9"/>
      <c r="J55" s="9"/>
      <c r="N55" s="9"/>
      <c r="O55" s="19"/>
      <c r="P55" s="19"/>
      <c r="R55" s="19"/>
      <c r="S55" s="9"/>
    </row>
    <row r="56" spans="4:19" s="18" customFormat="1" x14ac:dyDescent="0.2">
      <c r="D56" s="9"/>
      <c r="G56" s="9"/>
      <c r="J56" s="9"/>
      <c r="N56" s="9"/>
      <c r="O56" s="19"/>
      <c r="P56" s="19"/>
      <c r="R56" s="19"/>
      <c r="S56" s="9"/>
    </row>
    <row r="57" spans="4:19" s="18" customFormat="1" x14ac:dyDescent="0.2">
      <c r="D57" s="9"/>
      <c r="G57" s="9"/>
      <c r="J57" s="9"/>
      <c r="N57" s="9"/>
      <c r="O57" s="19"/>
      <c r="P57" s="19"/>
      <c r="R57" s="19"/>
      <c r="S57" s="9"/>
    </row>
    <row r="58" spans="4:19" s="18" customFormat="1" x14ac:dyDescent="0.2">
      <c r="D58" s="9"/>
      <c r="G58" s="9"/>
      <c r="J58" s="9"/>
      <c r="N58" s="9"/>
      <c r="O58" s="19"/>
      <c r="P58" s="19"/>
      <c r="R58" s="19"/>
      <c r="S58" s="9"/>
    </row>
    <row r="59" spans="4:19" s="18" customFormat="1" x14ac:dyDescent="0.2">
      <c r="D59" s="9"/>
      <c r="G59" s="9"/>
      <c r="J59" s="9"/>
      <c r="N59" s="9"/>
      <c r="O59" s="19"/>
      <c r="P59" s="19"/>
      <c r="R59" s="19"/>
      <c r="S59" s="9"/>
    </row>
    <row r="60" spans="4:19" s="18" customFormat="1" x14ac:dyDescent="0.2">
      <c r="D60" s="9"/>
      <c r="G60" s="9"/>
      <c r="J60" s="9"/>
      <c r="N60" s="9"/>
      <c r="O60" s="19"/>
      <c r="P60" s="19"/>
      <c r="R60" s="19"/>
      <c r="S60" s="9"/>
    </row>
    <row r="61" spans="4:19" s="18" customFormat="1" x14ac:dyDescent="0.2">
      <c r="D61" s="9"/>
      <c r="G61" s="9"/>
      <c r="J61" s="9"/>
      <c r="N61" s="9"/>
      <c r="O61" s="19"/>
      <c r="P61" s="19"/>
      <c r="R61" s="19"/>
      <c r="S61" s="9"/>
    </row>
    <row r="62" spans="4:19" s="18" customFormat="1" x14ac:dyDescent="0.2">
      <c r="D62" s="9"/>
      <c r="G62" s="9"/>
      <c r="J62" s="9"/>
      <c r="N62" s="9"/>
      <c r="O62" s="19"/>
      <c r="P62" s="19"/>
      <c r="R62" s="19"/>
      <c r="S62" s="9"/>
    </row>
    <row r="63" spans="4:19" s="18" customFormat="1" x14ac:dyDescent="0.2">
      <c r="D63" s="9"/>
      <c r="G63" s="9"/>
      <c r="J63" s="9"/>
      <c r="N63" s="9"/>
      <c r="O63" s="19"/>
      <c r="P63" s="19"/>
      <c r="R63" s="19"/>
      <c r="S63" s="9"/>
    </row>
    <row r="64" spans="4:19" s="18" customFormat="1" x14ac:dyDescent="0.2">
      <c r="D64" s="9"/>
      <c r="G64" s="9"/>
      <c r="J64" s="9"/>
      <c r="N64" s="9"/>
      <c r="O64" s="19"/>
      <c r="P64" s="19"/>
      <c r="R64" s="19"/>
      <c r="S64" s="9"/>
    </row>
    <row r="65" spans="4:19" s="18" customFormat="1" x14ac:dyDescent="0.2">
      <c r="D65" s="9"/>
      <c r="G65" s="9"/>
      <c r="J65" s="9"/>
      <c r="N65" s="9"/>
      <c r="O65" s="19"/>
      <c r="P65" s="19"/>
      <c r="R65" s="19"/>
      <c r="S65" s="9"/>
    </row>
    <row r="66" spans="4:19" s="18" customFormat="1" x14ac:dyDescent="0.2">
      <c r="D66" s="9"/>
      <c r="G66" s="9"/>
      <c r="J66" s="9"/>
      <c r="N66" s="9"/>
      <c r="O66" s="19"/>
      <c r="P66" s="19"/>
      <c r="R66" s="19"/>
      <c r="S66" s="9"/>
    </row>
    <row r="67" spans="4:19" s="18" customFormat="1" x14ac:dyDescent="0.2">
      <c r="D67" s="9"/>
      <c r="G67" s="9"/>
      <c r="J67" s="9"/>
      <c r="N67" s="9"/>
      <c r="O67" s="19"/>
      <c r="P67" s="19"/>
      <c r="R67" s="19"/>
      <c r="S67" s="9"/>
    </row>
    <row r="68" spans="4:19" s="18" customFormat="1" x14ac:dyDescent="0.2">
      <c r="D68" s="9"/>
      <c r="G68" s="9"/>
      <c r="J68" s="9"/>
      <c r="N68" s="9"/>
      <c r="O68" s="19"/>
      <c r="P68" s="19"/>
      <c r="R68" s="19"/>
      <c r="S68" s="9"/>
    </row>
    <row r="69" spans="4:19" s="18" customFormat="1" x14ac:dyDescent="0.2">
      <c r="D69" s="9"/>
      <c r="G69" s="9"/>
      <c r="J69" s="9"/>
      <c r="N69" s="9"/>
      <c r="O69" s="19"/>
      <c r="P69" s="19"/>
      <c r="R69" s="19"/>
      <c r="S69" s="9"/>
    </row>
    <row r="70" spans="4:19" s="18" customFormat="1" x14ac:dyDescent="0.2">
      <c r="D70" s="9"/>
      <c r="G70" s="9"/>
      <c r="J70" s="9"/>
      <c r="N70" s="9"/>
      <c r="O70" s="19"/>
      <c r="P70" s="19"/>
      <c r="R70" s="19"/>
      <c r="S70" s="9"/>
    </row>
    <row r="71" spans="4:19" s="18" customFormat="1" x14ac:dyDescent="0.2">
      <c r="D71" s="9"/>
      <c r="G71" s="9"/>
      <c r="J71" s="9"/>
      <c r="N71" s="9"/>
      <c r="O71" s="19"/>
      <c r="P71" s="19"/>
      <c r="R71" s="19"/>
      <c r="S71" s="9"/>
    </row>
    <row r="72" spans="4:19" s="18" customFormat="1" x14ac:dyDescent="0.2">
      <c r="D72" s="9"/>
      <c r="G72" s="9"/>
      <c r="J72" s="9"/>
      <c r="N72" s="9"/>
      <c r="O72" s="19"/>
      <c r="P72" s="19"/>
      <c r="R72" s="19"/>
      <c r="S72" s="9"/>
    </row>
    <row r="73" spans="4:19" s="18" customFormat="1" x14ac:dyDescent="0.2">
      <c r="D73" s="9"/>
      <c r="G73" s="9"/>
      <c r="J73" s="9"/>
      <c r="N73" s="9"/>
      <c r="O73" s="19"/>
      <c r="P73" s="19"/>
      <c r="R73" s="19"/>
      <c r="S73" s="9"/>
    </row>
    <row r="74" spans="4:19" s="18" customFormat="1" x14ac:dyDescent="0.2">
      <c r="D74" s="9"/>
      <c r="G74" s="9"/>
      <c r="J74" s="9"/>
      <c r="N74" s="9"/>
      <c r="O74" s="19"/>
      <c r="P74" s="19"/>
      <c r="R74" s="19"/>
      <c r="S74" s="9"/>
    </row>
    <row r="75" spans="4:19" s="18" customFormat="1" x14ac:dyDescent="0.2">
      <c r="D75" s="9"/>
      <c r="G75" s="9"/>
      <c r="J75" s="9"/>
      <c r="N75" s="9"/>
      <c r="O75" s="19"/>
      <c r="P75" s="19"/>
      <c r="R75" s="19"/>
      <c r="S75" s="9"/>
    </row>
    <row r="76" spans="4:19" s="18" customFormat="1" x14ac:dyDescent="0.2">
      <c r="D76" s="9"/>
      <c r="G76" s="9"/>
      <c r="J76" s="9"/>
      <c r="N76" s="9"/>
      <c r="O76" s="19"/>
      <c r="P76" s="19"/>
      <c r="R76" s="19"/>
      <c r="S76" s="9"/>
    </row>
    <row r="77" spans="4:19" s="18" customFormat="1" x14ac:dyDescent="0.2">
      <c r="D77" s="9"/>
      <c r="G77" s="9"/>
      <c r="J77" s="9"/>
      <c r="N77" s="9"/>
      <c r="O77" s="19"/>
      <c r="P77" s="19"/>
      <c r="R77" s="19"/>
      <c r="S77" s="9"/>
    </row>
    <row r="78" spans="4:19" s="18" customFormat="1" x14ac:dyDescent="0.2">
      <c r="D78" s="9"/>
      <c r="G78" s="9"/>
      <c r="J78" s="9"/>
      <c r="N78" s="9"/>
      <c r="O78" s="19"/>
      <c r="P78" s="19"/>
      <c r="R78" s="19"/>
      <c r="S78" s="9"/>
    </row>
    <row r="79" spans="4:19" s="18" customFormat="1" x14ac:dyDescent="0.2">
      <c r="D79" s="9"/>
      <c r="G79" s="9"/>
      <c r="J79" s="9"/>
      <c r="N79" s="9"/>
      <c r="O79" s="19"/>
      <c r="P79" s="19"/>
      <c r="R79" s="19"/>
      <c r="S79" s="9"/>
    </row>
    <row r="80" spans="4:19" s="18" customFormat="1" x14ac:dyDescent="0.2">
      <c r="D80" s="9"/>
      <c r="G80" s="9"/>
      <c r="J80" s="9"/>
      <c r="N80" s="9"/>
      <c r="O80" s="19"/>
      <c r="P80" s="19"/>
      <c r="R80" s="19"/>
      <c r="S80" s="9"/>
    </row>
    <row r="81" spans="4:19" s="18" customFormat="1" x14ac:dyDescent="0.2">
      <c r="D81" s="9"/>
      <c r="G81" s="9"/>
      <c r="J81" s="9"/>
      <c r="N81" s="9"/>
      <c r="O81" s="19"/>
      <c r="P81" s="19"/>
      <c r="R81" s="19"/>
      <c r="S81" s="9"/>
    </row>
    <row r="82" spans="4:19" s="18" customFormat="1" x14ac:dyDescent="0.2">
      <c r="D82" s="9"/>
      <c r="G82" s="9"/>
      <c r="J82" s="9"/>
      <c r="N82" s="9"/>
      <c r="O82" s="19"/>
      <c r="P82" s="19"/>
      <c r="R82" s="19"/>
      <c r="S82" s="9"/>
    </row>
    <row r="83" spans="4:19" s="18" customFormat="1" x14ac:dyDescent="0.2">
      <c r="D83" s="9"/>
      <c r="G83" s="9"/>
      <c r="J83" s="9"/>
      <c r="N83" s="9"/>
      <c r="O83" s="19"/>
      <c r="P83" s="19"/>
      <c r="R83" s="19"/>
      <c r="S83" s="9"/>
    </row>
    <row r="84" spans="4:19" s="18" customFormat="1" x14ac:dyDescent="0.2">
      <c r="D84" s="9"/>
      <c r="G84" s="9"/>
      <c r="J84" s="9"/>
      <c r="N84" s="9"/>
      <c r="O84" s="19"/>
      <c r="P84" s="19"/>
      <c r="R84" s="19"/>
      <c r="S84" s="9"/>
    </row>
    <row r="85" spans="4:19" s="18" customFormat="1" x14ac:dyDescent="0.2">
      <c r="D85" s="9"/>
      <c r="G85" s="9"/>
      <c r="J85" s="9"/>
      <c r="N85" s="9"/>
      <c r="O85" s="19"/>
      <c r="P85" s="19"/>
      <c r="R85" s="19"/>
      <c r="S85" s="9"/>
    </row>
    <row r="86" spans="4:19" s="18" customFormat="1" x14ac:dyDescent="0.2">
      <c r="D86" s="9"/>
      <c r="G86" s="9"/>
      <c r="J86" s="9"/>
      <c r="N86" s="9"/>
      <c r="O86" s="19"/>
      <c r="P86" s="19"/>
      <c r="R86" s="19"/>
      <c r="S86" s="9"/>
    </row>
    <row r="87" spans="4:19" s="18" customFormat="1" x14ac:dyDescent="0.2">
      <c r="D87" s="9"/>
      <c r="G87" s="9"/>
      <c r="J87" s="9"/>
      <c r="N87" s="9"/>
      <c r="O87" s="19"/>
      <c r="P87" s="19"/>
      <c r="R87" s="19"/>
      <c r="S87" s="9"/>
    </row>
    <row r="88" spans="4:19" s="18" customFormat="1" x14ac:dyDescent="0.2">
      <c r="D88" s="9"/>
      <c r="G88" s="9"/>
      <c r="J88" s="9"/>
      <c r="N88" s="9"/>
      <c r="O88" s="19"/>
      <c r="P88" s="19"/>
      <c r="R88" s="19"/>
      <c r="S88" s="9"/>
    </row>
    <row r="89" spans="4:19" s="18" customFormat="1" x14ac:dyDescent="0.2">
      <c r="D89" s="9"/>
      <c r="G89" s="9"/>
      <c r="J89" s="9"/>
      <c r="N89" s="9"/>
      <c r="O89" s="19"/>
      <c r="P89" s="19"/>
      <c r="R89" s="19"/>
      <c r="S89" s="9"/>
    </row>
    <row r="90" spans="4:19" s="18" customFormat="1" x14ac:dyDescent="0.2">
      <c r="D90" s="9"/>
      <c r="G90" s="9"/>
      <c r="J90" s="9"/>
      <c r="N90" s="9"/>
      <c r="O90" s="19"/>
      <c r="P90" s="19"/>
      <c r="R90" s="19"/>
      <c r="S90" s="9"/>
    </row>
    <row r="91" spans="4:19" s="18" customFormat="1" x14ac:dyDescent="0.2">
      <c r="D91" s="9"/>
      <c r="G91" s="9"/>
      <c r="J91" s="9"/>
      <c r="N91" s="9"/>
      <c r="O91" s="19"/>
      <c r="P91" s="19"/>
      <c r="R91" s="19"/>
      <c r="S91" s="9"/>
    </row>
    <row r="92" spans="4:19" s="18" customFormat="1" x14ac:dyDescent="0.2">
      <c r="D92" s="9"/>
      <c r="G92" s="9"/>
      <c r="J92" s="9"/>
      <c r="N92" s="9"/>
      <c r="O92" s="19"/>
      <c r="P92" s="19"/>
      <c r="R92" s="19"/>
      <c r="S92" s="9"/>
    </row>
    <row r="93" spans="4:19" s="18" customFormat="1" x14ac:dyDescent="0.2">
      <c r="D93" s="9"/>
      <c r="G93" s="9"/>
      <c r="J93" s="9"/>
      <c r="N93" s="9"/>
      <c r="O93" s="19"/>
      <c r="P93" s="19"/>
      <c r="R93" s="19"/>
      <c r="S93" s="9"/>
    </row>
    <row r="94" spans="4:19" s="18" customFormat="1" x14ac:dyDescent="0.2">
      <c r="D94" s="9"/>
      <c r="G94" s="9"/>
      <c r="J94" s="9"/>
      <c r="N94" s="9"/>
      <c r="O94" s="19"/>
      <c r="P94" s="19"/>
      <c r="R94" s="19"/>
      <c r="S94" s="9"/>
    </row>
    <row r="95" spans="4:19" s="18" customFormat="1" x14ac:dyDescent="0.2">
      <c r="D95" s="9"/>
      <c r="G95" s="9"/>
      <c r="J95" s="9"/>
      <c r="N95" s="9"/>
      <c r="O95" s="19"/>
      <c r="P95" s="19"/>
      <c r="R95" s="19"/>
      <c r="S95" s="9"/>
    </row>
    <row r="96" spans="4:19" s="18" customFormat="1" x14ac:dyDescent="0.2">
      <c r="D96" s="9"/>
      <c r="G96" s="9"/>
      <c r="J96" s="9"/>
      <c r="N96" s="9"/>
      <c r="O96" s="19"/>
      <c r="P96" s="19"/>
      <c r="R96" s="19"/>
      <c r="S96" s="9"/>
    </row>
    <row r="97" spans="4:19" s="18" customFormat="1" x14ac:dyDescent="0.2">
      <c r="D97" s="9"/>
      <c r="G97" s="9"/>
      <c r="J97" s="9"/>
      <c r="N97" s="9"/>
      <c r="O97" s="19"/>
      <c r="P97" s="19"/>
      <c r="R97" s="19"/>
      <c r="S97" s="9"/>
    </row>
    <row r="98" spans="4:19" s="18" customFormat="1" x14ac:dyDescent="0.2">
      <c r="D98" s="9"/>
      <c r="G98" s="9"/>
      <c r="J98" s="9"/>
      <c r="N98" s="9"/>
      <c r="O98" s="19"/>
      <c r="P98" s="19"/>
      <c r="R98" s="19"/>
      <c r="S98" s="9"/>
    </row>
    <row r="99" spans="4:19" s="18" customFormat="1" x14ac:dyDescent="0.2">
      <c r="D99" s="9"/>
      <c r="G99" s="9"/>
      <c r="J99" s="9"/>
      <c r="N99" s="9"/>
      <c r="O99" s="19"/>
      <c r="P99" s="19"/>
      <c r="R99" s="19"/>
      <c r="S99" s="9"/>
    </row>
    <row r="100" spans="4:19" s="18" customFormat="1" x14ac:dyDescent="0.2">
      <c r="D100" s="9"/>
      <c r="G100" s="9"/>
      <c r="J100" s="9"/>
      <c r="N100" s="9"/>
      <c r="O100" s="19"/>
      <c r="P100" s="19"/>
      <c r="R100" s="19"/>
      <c r="S100" s="9"/>
    </row>
    <row r="101" spans="4:19" s="18" customFormat="1" x14ac:dyDescent="0.2">
      <c r="D101" s="9"/>
      <c r="G101" s="9"/>
      <c r="J101" s="9"/>
      <c r="N101" s="9"/>
      <c r="O101" s="19"/>
      <c r="P101" s="19"/>
      <c r="R101" s="19"/>
      <c r="S101" s="9"/>
    </row>
    <row r="102" spans="4:19" s="18" customFormat="1" x14ac:dyDescent="0.2">
      <c r="D102" s="9"/>
      <c r="G102" s="9"/>
      <c r="J102" s="9"/>
      <c r="N102" s="9"/>
      <c r="O102" s="19"/>
      <c r="P102" s="19"/>
      <c r="R102" s="19"/>
      <c r="S102" s="9"/>
    </row>
    <row r="103" spans="4:19" s="18" customFormat="1" x14ac:dyDescent="0.2">
      <c r="D103" s="9"/>
      <c r="G103" s="9"/>
      <c r="J103" s="9"/>
      <c r="N103" s="9"/>
      <c r="O103" s="19"/>
      <c r="P103" s="19"/>
      <c r="R103" s="19"/>
      <c r="S103" s="9"/>
    </row>
    <row r="104" spans="4:19" s="18" customFormat="1" x14ac:dyDescent="0.2">
      <c r="D104" s="9"/>
      <c r="G104" s="9"/>
      <c r="J104" s="9"/>
      <c r="N104" s="9"/>
      <c r="O104" s="19"/>
      <c r="P104" s="19"/>
      <c r="R104" s="19"/>
      <c r="S104" s="9"/>
    </row>
    <row r="105" spans="4:19" s="18" customFormat="1" x14ac:dyDescent="0.2">
      <c r="D105" s="9"/>
      <c r="G105" s="9"/>
      <c r="J105" s="9"/>
      <c r="N105" s="9"/>
      <c r="O105" s="19"/>
      <c r="P105" s="19"/>
      <c r="R105" s="19"/>
      <c r="S105" s="9"/>
    </row>
    <row r="106" spans="4:19" s="18" customFormat="1" x14ac:dyDescent="0.2">
      <c r="D106" s="9"/>
      <c r="G106" s="9"/>
      <c r="J106" s="9"/>
      <c r="N106" s="9"/>
      <c r="O106" s="19"/>
      <c r="P106" s="19"/>
      <c r="R106" s="19"/>
      <c r="S106" s="9"/>
    </row>
    <row r="107" spans="4:19" s="18" customFormat="1" x14ac:dyDescent="0.2">
      <c r="D107" s="9"/>
      <c r="G107" s="9"/>
      <c r="J107" s="9"/>
      <c r="N107" s="9"/>
      <c r="O107" s="19"/>
      <c r="P107" s="19"/>
      <c r="R107" s="19"/>
      <c r="S107" s="9"/>
    </row>
    <row r="108" spans="4:19" s="18" customFormat="1" x14ac:dyDescent="0.2">
      <c r="D108" s="9"/>
      <c r="G108" s="9"/>
      <c r="J108" s="9"/>
      <c r="N108" s="9"/>
      <c r="O108" s="19"/>
      <c r="P108" s="19"/>
      <c r="R108" s="19"/>
      <c r="S108" s="9"/>
    </row>
    <row r="109" spans="4:19" s="18" customFormat="1" x14ac:dyDescent="0.2">
      <c r="D109" s="9"/>
      <c r="G109" s="9"/>
      <c r="J109" s="9"/>
      <c r="N109" s="9"/>
      <c r="O109" s="19"/>
      <c r="P109" s="19"/>
      <c r="R109" s="19"/>
      <c r="S109" s="9"/>
    </row>
    <row r="110" spans="4:19" s="18" customFormat="1" x14ac:dyDescent="0.2">
      <c r="D110" s="9"/>
      <c r="G110" s="9"/>
      <c r="J110" s="9"/>
      <c r="N110" s="9"/>
      <c r="O110" s="19"/>
      <c r="P110" s="19"/>
      <c r="R110" s="19"/>
      <c r="S110" s="9"/>
    </row>
    <row r="111" spans="4:19" s="18" customFormat="1" x14ac:dyDescent="0.2">
      <c r="D111" s="9"/>
      <c r="G111" s="9"/>
      <c r="J111" s="9"/>
      <c r="N111" s="9"/>
      <c r="O111" s="19"/>
      <c r="P111" s="19"/>
      <c r="R111" s="19"/>
      <c r="S111" s="9"/>
    </row>
    <row r="112" spans="4:19" s="18" customFormat="1" x14ac:dyDescent="0.2">
      <c r="D112" s="9"/>
      <c r="G112" s="9"/>
      <c r="J112" s="9"/>
      <c r="N112" s="9"/>
      <c r="O112" s="19"/>
      <c r="P112" s="19"/>
      <c r="R112" s="19"/>
      <c r="S112" s="9"/>
    </row>
    <row r="113" spans="4:19" s="18" customFormat="1" x14ac:dyDescent="0.2">
      <c r="D113" s="9"/>
      <c r="G113" s="9"/>
      <c r="J113" s="9"/>
      <c r="N113" s="9"/>
      <c r="O113" s="19"/>
      <c r="P113" s="19"/>
      <c r="R113" s="19"/>
      <c r="S113" s="9"/>
    </row>
    <row r="114" spans="4:19" s="18" customFormat="1" x14ac:dyDescent="0.2">
      <c r="D114" s="9"/>
      <c r="G114" s="9"/>
      <c r="J114" s="9"/>
      <c r="N114" s="9"/>
      <c r="O114" s="19"/>
      <c r="P114" s="19"/>
      <c r="R114" s="19"/>
      <c r="S114" s="9"/>
    </row>
    <row r="115" spans="4:19" s="18" customFormat="1" x14ac:dyDescent="0.2">
      <c r="D115" s="9"/>
      <c r="G115" s="9"/>
      <c r="J115" s="9"/>
      <c r="N115" s="9"/>
      <c r="O115" s="19"/>
      <c r="P115" s="19"/>
      <c r="R115" s="19"/>
      <c r="S115" s="9"/>
    </row>
    <row r="116" spans="4:19" s="18" customFormat="1" x14ac:dyDescent="0.2">
      <c r="D116" s="9"/>
      <c r="G116" s="9"/>
      <c r="J116" s="9"/>
      <c r="N116" s="9"/>
      <c r="O116" s="19"/>
      <c r="P116" s="19"/>
      <c r="R116" s="19"/>
      <c r="S116" s="9"/>
    </row>
    <row r="117" spans="4:19" s="18" customFormat="1" x14ac:dyDescent="0.2">
      <c r="D117" s="9"/>
      <c r="G117" s="9"/>
      <c r="J117" s="9"/>
      <c r="N117" s="9"/>
      <c r="O117" s="19"/>
      <c r="P117" s="19"/>
      <c r="R117" s="19"/>
      <c r="S117" s="9"/>
    </row>
    <row r="118" spans="4:19" s="18" customFormat="1" x14ac:dyDescent="0.2">
      <c r="D118" s="9"/>
      <c r="G118" s="9"/>
      <c r="J118" s="9"/>
      <c r="N118" s="9"/>
      <c r="O118" s="19"/>
      <c r="P118" s="19"/>
      <c r="R118" s="19"/>
      <c r="S118" s="9"/>
    </row>
    <row r="119" spans="4:19" s="18" customFormat="1" x14ac:dyDescent="0.2">
      <c r="D119" s="9"/>
      <c r="G119" s="9"/>
      <c r="J119" s="9"/>
      <c r="N119" s="9"/>
      <c r="O119" s="19"/>
      <c r="P119" s="19"/>
      <c r="R119" s="19"/>
      <c r="S119" s="9"/>
    </row>
    <row r="120" spans="4:19" s="18" customFormat="1" x14ac:dyDescent="0.2">
      <c r="D120" s="9"/>
      <c r="G120" s="9"/>
      <c r="J120" s="9"/>
      <c r="N120" s="9"/>
      <c r="O120" s="19"/>
      <c r="P120" s="19"/>
      <c r="R120" s="19"/>
      <c r="S120" s="9"/>
    </row>
    <row r="121" spans="4:19" s="18" customFormat="1" x14ac:dyDescent="0.2">
      <c r="D121" s="9"/>
      <c r="G121" s="9"/>
      <c r="J121" s="9"/>
      <c r="N121" s="9"/>
      <c r="O121" s="19"/>
      <c r="P121" s="19"/>
      <c r="R121" s="19"/>
      <c r="S121" s="9"/>
    </row>
    <row r="122" spans="4:19" s="18" customFormat="1" x14ac:dyDescent="0.2">
      <c r="D122" s="9"/>
      <c r="G122" s="9"/>
      <c r="J122" s="9"/>
      <c r="N122" s="9"/>
      <c r="O122" s="19"/>
      <c r="P122" s="19"/>
      <c r="R122" s="19"/>
      <c r="S122" s="9"/>
    </row>
    <row r="123" spans="4:19" s="18" customFormat="1" x14ac:dyDescent="0.2">
      <c r="D123" s="9"/>
      <c r="G123" s="9"/>
      <c r="J123" s="9"/>
      <c r="N123" s="9"/>
      <c r="O123" s="19"/>
      <c r="P123" s="19"/>
      <c r="R123" s="19"/>
      <c r="S123" s="9"/>
    </row>
    <row r="124" spans="4:19" s="18" customFormat="1" x14ac:dyDescent="0.2">
      <c r="D124" s="9"/>
      <c r="G124" s="9"/>
      <c r="J124" s="9"/>
      <c r="N124" s="9"/>
      <c r="O124" s="19"/>
      <c r="P124" s="19"/>
      <c r="R124" s="19"/>
      <c r="S124" s="9"/>
    </row>
    <row r="125" spans="4:19" s="18" customFormat="1" x14ac:dyDescent="0.2">
      <c r="D125" s="9"/>
      <c r="G125" s="9"/>
      <c r="J125" s="9"/>
      <c r="N125" s="9"/>
      <c r="O125" s="19"/>
      <c r="P125" s="19"/>
      <c r="R125" s="19"/>
      <c r="S125" s="9"/>
    </row>
    <row r="126" spans="4:19" s="18" customFormat="1" x14ac:dyDescent="0.2">
      <c r="D126" s="9"/>
      <c r="G126" s="9"/>
      <c r="J126" s="9"/>
      <c r="N126" s="9"/>
      <c r="O126" s="19"/>
      <c r="P126" s="19"/>
      <c r="R126" s="19"/>
      <c r="S126" s="9"/>
    </row>
    <row r="127" spans="4:19" s="18" customFormat="1" x14ac:dyDescent="0.2">
      <c r="D127" s="9"/>
      <c r="G127" s="9"/>
      <c r="J127" s="9"/>
      <c r="N127" s="9"/>
      <c r="O127" s="19"/>
      <c r="P127" s="19"/>
      <c r="R127" s="19"/>
      <c r="S127" s="9"/>
    </row>
    <row r="128" spans="4:19" s="18" customFormat="1" x14ac:dyDescent="0.2">
      <c r="D128" s="9"/>
      <c r="G128" s="9"/>
      <c r="J128" s="9"/>
      <c r="N128" s="9"/>
      <c r="O128" s="19"/>
      <c r="P128" s="19"/>
      <c r="R128" s="19"/>
      <c r="S128" s="9"/>
    </row>
    <row r="129" spans="4:19" s="18" customFormat="1" x14ac:dyDescent="0.2">
      <c r="D129" s="9"/>
      <c r="G129" s="9"/>
      <c r="J129" s="9"/>
      <c r="N129" s="9"/>
      <c r="O129" s="19"/>
      <c r="P129" s="19"/>
      <c r="R129" s="19"/>
      <c r="S129" s="9"/>
    </row>
    <row r="130" spans="4:19" s="18" customFormat="1" x14ac:dyDescent="0.2">
      <c r="D130" s="9"/>
      <c r="G130" s="9"/>
      <c r="J130" s="9"/>
      <c r="N130" s="9"/>
      <c r="O130" s="19"/>
      <c r="P130" s="19"/>
      <c r="R130" s="19"/>
      <c r="S130" s="9"/>
    </row>
    <row r="131" spans="4:19" s="18" customFormat="1" x14ac:dyDescent="0.2">
      <c r="D131" s="9"/>
      <c r="G131" s="9"/>
      <c r="J131" s="9"/>
      <c r="N131" s="9"/>
      <c r="O131" s="19"/>
      <c r="P131" s="19"/>
      <c r="R131" s="19"/>
      <c r="S131" s="9"/>
    </row>
    <row r="132" spans="4:19" s="18" customFormat="1" x14ac:dyDescent="0.2">
      <c r="D132" s="9"/>
      <c r="G132" s="9"/>
      <c r="J132" s="9"/>
      <c r="N132" s="9"/>
      <c r="O132" s="19"/>
      <c r="P132" s="19"/>
      <c r="R132" s="19"/>
      <c r="S132" s="9"/>
    </row>
    <row r="133" spans="4:19" s="18" customFormat="1" x14ac:dyDescent="0.2">
      <c r="D133" s="9"/>
      <c r="G133" s="9"/>
      <c r="J133" s="9"/>
      <c r="N133" s="9"/>
      <c r="O133" s="19"/>
      <c r="P133" s="19"/>
      <c r="R133" s="19"/>
      <c r="S133" s="9"/>
    </row>
    <row r="134" spans="4:19" s="18" customFormat="1" x14ac:dyDescent="0.2">
      <c r="D134" s="9"/>
      <c r="G134" s="9"/>
      <c r="J134" s="9"/>
      <c r="N134" s="9"/>
      <c r="O134" s="19"/>
      <c r="P134" s="19"/>
      <c r="R134" s="19"/>
      <c r="S134" s="9"/>
    </row>
    <row r="135" spans="4:19" s="18" customFormat="1" x14ac:dyDescent="0.2">
      <c r="D135" s="9"/>
      <c r="G135" s="9"/>
      <c r="J135" s="9"/>
      <c r="N135" s="9"/>
      <c r="O135" s="19"/>
      <c r="P135" s="19"/>
      <c r="R135" s="19"/>
      <c r="S135" s="9"/>
    </row>
    <row r="136" spans="4:19" s="18" customFormat="1" x14ac:dyDescent="0.2">
      <c r="D136" s="9"/>
      <c r="G136" s="9"/>
      <c r="J136" s="9"/>
      <c r="N136" s="9"/>
      <c r="O136" s="19"/>
      <c r="P136" s="19"/>
      <c r="R136" s="19"/>
      <c r="S136" s="9"/>
    </row>
    <row r="137" spans="4:19" s="18" customFormat="1" x14ac:dyDescent="0.2">
      <c r="D137" s="9"/>
      <c r="G137" s="9"/>
      <c r="J137" s="9"/>
      <c r="N137" s="9"/>
      <c r="O137" s="19"/>
      <c r="P137" s="19"/>
      <c r="R137" s="19"/>
      <c r="S137" s="9"/>
    </row>
    <row r="138" spans="4:19" s="18" customFormat="1" x14ac:dyDescent="0.2">
      <c r="D138" s="9"/>
      <c r="G138" s="9"/>
      <c r="J138" s="9"/>
      <c r="N138" s="9"/>
      <c r="O138" s="19"/>
      <c r="P138" s="19"/>
      <c r="R138" s="19"/>
      <c r="S138" s="9"/>
    </row>
    <row r="139" spans="4:19" s="18" customFormat="1" x14ac:dyDescent="0.2">
      <c r="D139" s="9"/>
      <c r="G139" s="9"/>
      <c r="J139" s="9"/>
      <c r="N139" s="9"/>
      <c r="O139" s="19"/>
      <c r="P139" s="19"/>
      <c r="R139" s="19"/>
      <c r="S139" s="9"/>
    </row>
    <row r="140" spans="4:19" s="18" customFormat="1" x14ac:dyDescent="0.2">
      <c r="D140" s="9"/>
      <c r="G140" s="9"/>
      <c r="J140" s="9"/>
      <c r="N140" s="9"/>
      <c r="O140" s="19"/>
      <c r="P140" s="19"/>
      <c r="R140" s="19"/>
      <c r="S140" s="9"/>
    </row>
    <row r="141" spans="4:19" s="18" customFormat="1" x14ac:dyDescent="0.2">
      <c r="D141" s="9"/>
      <c r="G141" s="9"/>
      <c r="J141" s="9"/>
      <c r="N141" s="9"/>
      <c r="O141" s="19"/>
      <c r="P141" s="19"/>
      <c r="R141" s="19"/>
      <c r="S141" s="9"/>
    </row>
    <row r="142" spans="4:19" s="18" customFormat="1" x14ac:dyDescent="0.2">
      <c r="D142" s="9"/>
      <c r="G142" s="9"/>
      <c r="J142" s="9"/>
      <c r="N142" s="9"/>
      <c r="O142" s="19"/>
      <c r="P142" s="19"/>
      <c r="R142" s="19"/>
      <c r="S142" s="9"/>
    </row>
    <row r="143" spans="4:19" s="18" customFormat="1" x14ac:dyDescent="0.2">
      <c r="D143" s="9"/>
      <c r="G143" s="9"/>
      <c r="J143" s="9"/>
      <c r="N143" s="9"/>
      <c r="O143" s="19"/>
      <c r="P143" s="19"/>
      <c r="R143" s="19"/>
      <c r="S143" s="9"/>
    </row>
    <row r="144" spans="4:19" s="18" customFormat="1" x14ac:dyDescent="0.2">
      <c r="D144" s="9"/>
      <c r="G144" s="9"/>
      <c r="J144" s="9"/>
      <c r="N144" s="9"/>
      <c r="O144" s="19"/>
      <c r="P144" s="19"/>
      <c r="R144" s="19"/>
      <c r="S144" s="9"/>
    </row>
    <row r="145" spans="4:19" s="18" customFormat="1" x14ac:dyDescent="0.2">
      <c r="D145" s="9"/>
      <c r="G145" s="9"/>
      <c r="J145" s="9"/>
      <c r="N145" s="9"/>
      <c r="O145" s="19"/>
      <c r="P145" s="19"/>
      <c r="R145" s="19"/>
      <c r="S145" s="9"/>
    </row>
    <row r="146" spans="4:19" s="18" customFormat="1" x14ac:dyDescent="0.2">
      <c r="D146" s="9"/>
      <c r="G146" s="9"/>
      <c r="J146" s="9"/>
      <c r="N146" s="9"/>
      <c r="O146" s="19"/>
      <c r="P146" s="19"/>
      <c r="R146" s="19"/>
      <c r="S146" s="9"/>
    </row>
    <row r="147" spans="4:19" s="18" customFormat="1" x14ac:dyDescent="0.2">
      <c r="D147" s="9"/>
      <c r="G147" s="9"/>
      <c r="J147" s="9"/>
      <c r="N147" s="9"/>
      <c r="O147" s="19"/>
      <c r="P147" s="19"/>
      <c r="R147" s="19"/>
      <c r="S147" s="9"/>
    </row>
    <row r="148" spans="4:19" s="18" customFormat="1" x14ac:dyDescent="0.2">
      <c r="D148" s="9"/>
      <c r="G148" s="9"/>
      <c r="J148" s="9"/>
      <c r="N148" s="9"/>
      <c r="O148" s="19"/>
      <c r="P148" s="19"/>
      <c r="R148" s="19"/>
      <c r="S148" s="9"/>
    </row>
    <row r="149" spans="4:19" s="18" customFormat="1" x14ac:dyDescent="0.2">
      <c r="D149" s="9"/>
      <c r="G149" s="9"/>
      <c r="J149" s="9"/>
      <c r="N149" s="9"/>
      <c r="O149" s="19"/>
      <c r="P149" s="19"/>
      <c r="R149" s="19"/>
      <c r="S149" s="9"/>
    </row>
    <row r="150" spans="4:19" s="18" customFormat="1" x14ac:dyDescent="0.2">
      <c r="D150" s="9"/>
      <c r="G150" s="9"/>
      <c r="J150" s="9"/>
      <c r="N150" s="9"/>
      <c r="O150" s="19"/>
      <c r="P150" s="19"/>
      <c r="R150" s="19"/>
      <c r="S150" s="9"/>
    </row>
    <row r="151" spans="4:19" s="18" customFormat="1" x14ac:dyDescent="0.2">
      <c r="D151" s="9"/>
      <c r="G151" s="9"/>
      <c r="J151" s="9"/>
      <c r="N151" s="9"/>
      <c r="O151" s="19"/>
      <c r="P151" s="19"/>
      <c r="R151" s="19"/>
      <c r="S151" s="9"/>
    </row>
    <row r="152" spans="4:19" s="18" customFormat="1" x14ac:dyDescent="0.2">
      <c r="D152" s="9"/>
      <c r="G152" s="9"/>
      <c r="J152" s="9"/>
      <c r="N152" s="9"/>
      <c r="O152" s="19"/>
      <c r="P152" s="19"/>
      <c r="R152" s="19"/>
      <c r="S152" s="9"/>
    </row>
    <row r="153" spans="4:19" s="18" customFormat="1" x14ac:dyDescent="0.2">
      <c r="D153" s="9"/>
      <c r="G153" s="9"/>
      <c r="J153" s="9"/>
      <c r="N153" s="9"/>
      <c r="O153" s="19"/>
      <c r="P153" s="19"/>
      <c r="R153" s="19"/>
      <c r="S153" s="9"/>
    </row>
    <row r="154" spans="4:19" s="18" customFormat="1" x14ac:dyDescent="0.2">
      <c r="D154" s="9"/>
      <c r="G154" s="9"/>
      <c r="J154" s="9"/>
      <c r="N154" s="9"/>
      <c r="O154" s="19"/>
      <c r="P154" s="19"/>
      <c r="R154" s="19"/>
      <c r="S154" s="9"/>
    </row>
    <row r="155" spans="4:19" s="18" customFormat="1" x14ac:dyDescent="0.2">
      <c r="D155" s="9"/>
      <c r="G155" s="9"/>
      <c r="J155" s="9"/>
      <c r="N155" s="9"/>
      <c r="O155" s="19"/>
      <c r="P155" s="19"/>
      <c r="R155" s="19"/>
      <c r="S155" s="9"/>
    </row>
    <row r="156" spans="4:19" s="18" customFormat="1" x14ac:dyDescent="0.2">
      <c r="D156" s="9"/>
      <c r="G156" s="9"/>
      <c r="J156" s="9"/>
      <c r="N156" s="9"/>
      <c r="O156" s="19"/>
      <c r="P156" s="19"/>
      <c r="R156" s="19"/>
      <c r="S156" s="9"/>
    </row>
    <row r="157" spans="4:19" s="18" customFormat="1" x14ac:dyDescent="0.2">
      <c r="D157" s="9"/>
      <c r="G157" s="9"/>
      <c r="J157" s="9"/>
      <c r="N157" s="9"/>
      <c r="O157" s="19"/>
      <c r="P157" s="19"/>
      <c r="R157" s="19"/>
      <c r="S157" s="9"/>
    </row>
    <row r="158" spans="4:19" s="18" customFormat="1" x14ac:dyDescent="0.2">
      <c r="D158" s="9"/>
      <c r="G158" s="9"/>
      <c r="J158" s="9"/>
      <c r="N158" s="9"/>
      <c r="O158" s="19"/>
      <c r="P158" s="19"/>
      <c r="R158" s="19"/>
      <c r="S158" s="9"/>
    </row>
    <row r="159" spans="4:19" s="18" customFormat="1" x14ac:dyDescent="0.2">
      <c r="D159" s="9"/>
      <c r="G159" s="9"/>
      <c r="J159" s="9"/>
      <c r="N159" s="9"/>
      <c r="O159" s="19"/>
      <c r="P159" s="19"/>
      <c r="R159" s="19"/>
      <c r="S159" s="9"/>
    </row>
    <row r="160" spans="4:19" s="18" customFormat="1" x14ac:dyDescent="0.2">
      <c r="D160" s="9"/>
      <c r="G160" s="9"/>
      <c r="J160" s="9"/>
      <c r="N160" s="9"/>
      <c r="O160" s="19"/>
      <c r="P160" s="19"/>
      <c r="R160" s="19"/>
      <c r="S160" s="9"/>
    </row>
    <row r="161" spans="4:19" s="18" customFormat="1" x14ac:dyDescent="0.2">
      <c r="D161" s="9"/>
      <c r="G161" s="9"/>
      <c r="J161" s="9"/>
      <c r="N161" s="9"/>
      <c r="O161" s="19"/>
      <c r="P161" s="19"/>
      <c r="R161" s="19"/>
      <c r="S161" s="9"/>
    </row>
    <row r="162" spans="4:19" s="18" customFormat="1" x14ac:dyDescent="0.2">
      <c r="D162" s="9"/>
      <c r="G162" s="9"/>
      <c r="J162" s="9"/>
      <c r="N162" s="9"/>
      <c r="O162" s="19"/>
      <c r="P162" s="19"/>
      <c r="R162" s="19"/>
      <c r="S162" s="9"/>
    </row>
    <row r="163" spans="4:19" s="18" customFormat="1" x14ac:dyDescent="0.2">
      <c r="D163" s="9"/>
      <c r="G163" s="9"/>
      <c r="J163" s="9"/>
      <c r="N163" s="9"/>
      <c r="O163" s="19"/>
      <c r="P163" s="19"/>
      <c r="R163" s="19"/>
      <c r="S163" s="9"/>
    </row>
    <row r="164" spans="4:19" s="18" customFormat="1" x14ac:dyDescent="0.2">
      <c r="D164" s="9"/>
      <c r="G164" s="9"/>
      <c r="J164" s="9"/>
      <c r="N164" s="9"/>
      <c r="O164" s="19"/>
      <c r="P164" s="19"/>
      <c r="R164" s="19"/>
      <c r="S164" s="9"/>
    </row>
    <row r="165" spans="4:19" s="18" customFormat="1" x14ac:dyDescent="0.2">
      <c r="D165" s="9"/>
      <c r="G165" s="9"/>
      <c r="J165" s="9"/>
      <c r="N165" s="9"/>
      <c r="O165" s="19"/>
      <c r="P165" s="19"/>
      <c r="R165" s="19"/>
      <c r="S165" s="9"/>
    </row>
    <row r="166" spans="4:19" s="18" customFormat="1" x14ac:dyDescent="0.2">
      <c r="D166" s="9"/>
      <c r="G166" s="9"/>
      <c r="J166" s="9"/>
      <c r="N166" s="9"/>
      <c r="O166" s="19"/>
      <c r="P166" s="19"/>
      <c r="R166" s="19"/>
      <c r="S166" s="9"/>
    </row>
    <row r="167" spans="4:19" s="18" customFormat="1" x14ac:dyDescent="0.2">
      <c r="D167" s="9"/>
      <c r="G167" s="9"/>
      <c r="J167" s="9"/>
      <c r="N167" s="9"/>
      <c r="O167" s="19"/>
      <c r="P167" s="19"/>
      <c r="R167" s="19"/>
      <c r="S167" s="9"/>
    </row>
    <row r="168" spans="4:19" s="18" customFormat="1" x14ac:dyDescent="0.2">
      <c r="D168" s="9"/>
      <c r="G168" s="9"/>
      <c r="J168" s="9"/>
      <c r="N168" s="9"/>
      <c r="O168" s="19"/>
      <c r="P168" s="19"/>
      <c r="R168" s="19"/>
      <c r="S168" s="9"/>
    </row>
    <row r="169" spans="4:19" s="18" customFormat="1" x14ac:dyDescent="0.2">
      <c r="D169" s="9"/>
      <c r="G169" s="9"/>
      <c r="J169" s="9"/>
      <c r="N169" s="9"/>
      <c r="O169" s="19"/>
      <c r="P169" s="19"/>
      <c r="R169" s="19"/>
      <c r="S169" s="9"/>
    </row>
    <row r="170" spans="4:19" s="18" customFormat="1" x14ac:dyDescent="0.2">
      <c r="D170" s="9"/>
      <c r="G170" s="9"/>
      <c r="J170" s="9"/>
      <c r="N170" s="9"/>
      <c r="O170" s="19"/>
      <c r="P170" s="19"/>
      <c r="R170" s="19"/>
      <c r="S170" s="9"/>
    </row>
    <row r="171" spans="4:19" s="18" customFormat="1" x14ac:dyDescent="0.2">
      <c r="D171" s="9"/>
      <c r="G171" s="9"/>
      <c r="J171" s="9"/>
      <c r="N171" s="9"/>
      <c r="O171" s="19"/>
      <c r="P171" s="19"/>
      <c r="R171" s="19"/>
      <c r="S171" s="9"/>
    </row>
    <row r="172" spans="4:19" s="18" customFormat="1" x14ac:dyDescent="0.2">
      <c r="D172" s="9"/>
      <c r="G172" s="9"/>
      <c r="J172" s="9"/>
      <c r="N172" s="9"/>
      <c r="O172" s="19"/>
      <c r="P172" s="19"/>
      <c r="R172" s="19"/>
      <c r="S172" s="9"/>
    </row>
    <row r="173" spans="4:19" s="18" customFormat="1" x14ac:dyDescent="0.2">
      <c r="D173" s="9"/>
      <c r="G173" s="9"/>
      <c r="J173" s="9"/>
      <c r="N173" s="9"/>
      <c r="O173" s="19"/>
      <c r="P173" s="19"/>
      <c r="R173" s="19"/>
      <c r="S173" s="9"/>
    </row>
    <row r="174" spans="4:19" s="18" customFormat="1" x14ac:dyDescent="0.2">
      <c r="D174" s="9"/>
      <c r="G174" s="9"/>
      <c r="J174" s="9"/>
      <c r="N174" s="9"/>
      <c r="O174" s="19"/>
      <c r="P174" s="19"/>
      <c r="R174" s="19"/>
      <c r="S174" s="9"/>
    </row>
    <row r="175" spans="4:19" s="18" customFormat="1" x14ac:dyDescent="0.2">
      <c r="D175" s="9"/>
      <c r="G175" s="9"/>
      <c r="J175" s="9"/>
      <c r="N175" s="9"/>
      <c r="O175" s="19"/>
      <c r="P175" s="19"/>
      <c r="R175" s="19"/>
      <c r="S175" s="9"/>
    </row>
    <row r="176" spans="4:19" s="18" customFormat="1" x14ac:dyDescent="0.2">
      <c r="D176" s="9"/>
      <c r="G176" s="9"/>
      <c r="J176" s="9"/>
      <c r="N176" s="9"/>
      <c r="O176" s="19"/>
      <c r="P176" s="19"/>
      <c r="R176" s="19"/>
      <c r="S176" s="9"/>
    </row>
    <row r="177" spans="4:19" s="18" customFormat="1" x14ac:dyDescent="0.2">
      <c r="D177" s="9"/>
      <c r="G177" s="9"/>
      <c r="J177" s="9"/>
      <c r="N177" s="9"/>
      <c r="O177" s="19"/>
      <c r="P177" s="19"/>
      <c r="R177" s="19"/>
      <c r="S177" s="9"/>
    </row>
    <row r="178" spans="4:19" s="18" customFormat="1" x14ac:dyDescent="0.2">
      <c r="D178" s="9"/>
      <c r="G178" s="9"/>
      <c r="J178" s="9"/>
      <c r="N178" s="9"/>
      <c r="O178" s="19"/>
      <c r="P178" s="19"/>
      <c r="R178" s="19"/>
      <c r="S178" s="9"/>
    </row>
    <row r="179" spans="4:19" s="18" customFormat="1" x14ac:dyDescent="0.2">
      <c r="D179" s="9"/>
      <c r="G179" s="9"/>
      <c r="J179" s="9"/>
      <c r="N179" s="9"/>
      <c r="O179" s="19"/>
      <c r="P179" s="19"/>
      <c r="R179" s="19"/>
      <c r="S179" s="9"/>
    </row>
    <row r="180" spans="4:19" s="18" customFormat="1" x14ac:dyDescent="0.2">
      <c r="D180" s="9"/>
      <c r="G180" s="9"/>
      <c r="J180" s="9"/>
      <c r="N180" s="9"/>
      <c r="O180" s="19"/>
      <c r="P180" s="19"/>
      <c r="R180" s="19"/>
      <c r="S180" s="9"/>
    </row>
    <row r="181" spans="4:19" s="18" customFormat="1" x14ac:dyDescent="0.2">
      <c r="D181" s="9"/>
      <c r="G181" s="9"/>
      <c r="J181" s="9"/>
      <c r="N181" s="9"/>
      <c r="O181" s="19"/>
      <c r="P181" s="19"/>
      <c r="R181" s="19"/>
      <c r="S181" s="9"/>
    </row>
    <row r="182" spans="4:19" s="18" customFormat="1" x14ac:dyDescent="0.2">
      <c r="D182" s="9"/>
      <c r="G182" s="9"/>
      <c r="J182" s="9"/>
      <c r="N182" s="9"/>
      <c r="O182" s="19"/>
      <c r="P182" s="19"/>
      <c r="R182" s="19"/>
      <c r="S182" s="9"/>
    </row>
    <row r="183" spans="4:19" s="18" customFormat="1" x14ac:dyDescent="0.2">
      <c r="D183" s="9"/>
      <c r="G183" s="9"/>
      <c r="J183" s="9"/>
      <c r="N183" s="9"/>
      <c r="O183" s="19"/>
      <c r="P183" s="19"/>
      <c r="R183" s="19"/>
      <c r="S183" s="9"/>
    </row>
    <row r="184" spans="4:19" s="18" customFormat="1" x14ac:dyDescent="0.2">
      <c r="D184" s="9"/>
      <c r="G184" s="9"/>
      <c r="J184" s="9"/>
      <c r="N184" s="9"/>
      <c r="O184" s="19"/>
      <c r="P184" s="19"/>
      <c r="R184" s="19"/>
      <c r="S184" s="9"/>
    </row>
    <row r="185" spans="4:19" s="18" customFormat="1" x14ac:dyDescent="0.2">
      <c r="D185" s="9"/>
      <c r="G185" s="9"/>
      <c r="J185" s="9"/>
      <c r="N185" s="9"/>
      <c r="O185" s="19"/>
      <c r="P185" s="19"/>
      <c r="R185" s="19"/>
      <c r="S185" s="9"/>
    </row>
    <row r="186" spans="4:19" s="18" customFormat="1" x14ac:dyDescent="0.2">
      <c r="D186" s="9"/>
      <c r="G186" s="9"/>
      <c r="J186" s="9"/>
      <c r="N186" s="9"/>
      <c r="O186" s="19"/>
      <c r="P186" s="19"/>
      <c r="R186" s="19"/>
      <c r="S186" s="9"/>
    </row>
    <row r="187" spans="4:19" s="18" customFormat="1" x14ac:dyDescent="0.2">
      <c r="D187" s="9"/>
      <c r="G187" s="9"/>
      <c r="J187" s="9"/>
      <c r="N187" s="9"/>
      <c r="O187" s="19"/>
      <c r="P187" s="19"/>
      <c r="R187" s="19"/>
      <c r="S187" s="9"/>
    </row>
    <row r="188" spans="4:19" s="18" customFormat="1" x14ac:dyDescent="0.2">
      <c r="D188" s="9"/>
      <c r="G188" s="9"/>
      <c r="J188" s="9"/>
      <c r="N188" s="9"/>
      <c r="O188" s="19"/>
      <c r="P188" s="19"/>
      <c r="R188" s="19"/>
      <c r="S188" s="9"/>
    </row>
    <row r="189" spans="4:19" s="18" customFormat="1" x14ac:dyDescent="0.2">
      <c r="D189" s="9"/>
      <c r="G189" s="9"/>
      <c r="J189" s="9"/>
      <c r="N189" s="9"/>
      <c r="O189" s="19"/>
      <c r="P189" s="19"/>
      <c r="R189" s="19"/>
      <c r="S189" s="9"/>
    </row>
    <row r="190" spans="4:19" s="18" customFormat="1" x14ac:dyDescent="0.2">
      <c r="D190" s="9"/>
      <c r="G190" s="9"/>
      <c r="J190" s="9"/>
      <c r="N190" s="9"/>
      <c r="O190" s="19"/>
      <c r="P190" s="19"/>
      <c r="R190" s="19"/>
      <c r="S190" s="9"/>
    </row>
    <row r="191" spans="4:19" s="18" customFormat="1" x14ac:dyDescent="0.2">
      <c r="D191" s="9"/>
      <c r="G191" s="9"/>
      <c r="J191" s="9"/>
      <c r="N191" s="9"/>
      <c r="O191" s="19"/>
      <c r="P191" s="19"/>
      <c r="R191" s="19"/>
      <c r="S191" s="9"/>
    </row>
    <row r="192" spans="4:19" s="18" customFormat="1" x14ac:dyDescent="0.2">
      <c r="D192" s="9"/>
      <c r="G192" s="9"/>
      <c r="J192" s="9"/>
      <c r="N192" s="9"/>
      <c r="O192" s="19"/>
      <c r="P192" s="19"/>
      <c r="R192" s="19"/>
      <c r="S192" s="9"/>
    </row>
    <row r="193" spans="4:19" s="18" customFormat="1" x14ac:dyDescent="0.2">
      <c r="D193" s="9"/>
      <c r="G193" s="9"/>
      <c r="J193" s="9"/>
      <c r="N193" s="9"/>
      <c r="O193" s="19"/>
      <c r="P193" s="19"/>
      <c r="R193" s="19"/>
      <c r="S193" s="9"/>
    </row>
    <row r="194" spans="4:19" s="18" customFormat="1" x14ac:dyDescent="0.2">
      <c r="D194" s="9"/>
      <c r="G194" s="9"/>
      <c r="J194" s="9"/>
      <c r="N194" s="9"/>
      <c r="O194" s="19"/>
      <c r="P194" s="19"/>
      <c r="R194" s="19"/>
      <c r="S194" s="9"/>
    </row>
    <row r="195" spans="4:19" s="18" customFormat="1" x14ac:dyDescent="0.2">
      <c r="D195" s="9"/>
      <c r="G195" s="9"/>
      <c r="J195" s="9"/>
      <c r="N195" s="9"/>
      <c r="O195" s="19"/>
      <c r="P195" s="19"/>
      <c r="R195" s="19"/>
      <c r="S195" s="9"/>
    </row>
    <row r="196" spans="4:19" s="18" customFormat="1" x14ac:dyDescent="0.2">
      <c r="D196" s="9"/>
      <c r="G196" s="9"/>
      <c r="J196" s="9"/>
      <c r="N196" s="9"/>
      <c r="O196" s="19"/>
      <c r="P196" s="19"/>
      <c r="R196" s="19"/>
      <c r="S196" s="9"/>
    </row>
    <row r="197" spans="4:19" s="18" customFormat="1" x14ac:dyDescent="0.2">
      <c r="D197" s="9"/>
      <c r="G197" s="9"/>
      <c r="J197" s="9"/>
      <c r="N197" s="9"/>
      <c r="O197" s="19"/>
      <c r="P197" s="19"/>
      <c r="R197" s="19"/>
      <c r="S197" s="9"/>
    </row>
    <row r="198" spans="4:19" s="18" customFormat="1" x14ac:dyDescent="0.2">
      <c r="D198" s="9"/>
      <c r="G198" s="9"/>
      <c r="J198" s="9"/>
      <c r="N198" s="9"/>
      <c r="O198" s="19"/>
      <c r="P198" s="19"/>
      <c r="R198" s="19"/>
      <c r="S198" s="9"/>
    </row>
    <row r="199" spans="4:19" s="18" customFormat="1" x14ac:dyDescent="0.2">
      <c r="D199" s="9"/>
      <c r="G199" s="9"/>
      <c r="J199" s="9"/>
      <c r="N199" s="9"/>
      <c r="O199" s="19"/>
      <c r="P199" s="19"/>
      <c r="R199" s="19"/>
      <c r="S199" s="9"/>
    </row>
    <row r="200" spans="4:19" s="18" customFormat="1" x14ac:dyDescent="0.2">
      <c r="D200" s="9"/>
      <c r="G200" s="9"/>
      <c r="J200" s="9"/>
      <c r="N200" s="9"/>
      <c r="O200" s="19"/>
      <c r="P200" s="19"/>
      <c r="R200" s="19"/>
      <c r="S200" s="9"/>
    </row>
    <row r="201" spans="4:19" s="18" customFormat="1" x14ac:dyDescent="0.2">
      <c r="D201" s="9"/>
      <c r="G201" s="9"/>
      <c r="J201" s="9"/>
      <c r="N201" s="9"/>
      <c r="O201" s="19"/>
      <c r="P201" s="19"/>
      <c r="R201" s="19"/>
      <c r="S201" s="9"/>
    </row>
    <row r="202" spans="4:19" s="18" customFormat="1" x14ac:dyDescent="0.2">
      <c r="D202" s="9"/>
      <c r="G202" s="9"/>
      <c r="J202" s="9"/>
      <c r="N202" s="9"/>
      <c r="O202" s="19"/>
      <c r="P202" s="19"/>
      <c r="R202" s="19"/>
      <c r="S202" s="9"/>
    </row>
    <row r="203" spans="4:19" s="18" customFormat="1" x14ac:dyDescent="0.2">
      <c r="D203" s="9"/>
      <c r="G203" s="9"/>
      <c r="J203" s="9"/>
      <c r="N203" s="9"/>
      <c r="O203" s="19"/>
      <c r="P203" s="19"/>
      <c r="R203" s="19"/>
      <c r="S203" s="9"/>
    </row>
    <row r="204" spans="4:19" s="18" customFormat="1" x14ac:dyDescent="0.2">
      <c r="D204" s="9"/>
      <c r="G204" s="9"/>
      <c r="J204" s="9"/>
      <c r="N204" s="9"/>
      <c r="O204" s="19"/>
      <c r="P204" s="19"/>
      <c r="R204" s="19"/>
      <c r="S204" s="9"/>
    </row>
    <row r="205" spans="4:19" s="18" customFormat="1" x14ac:dyDescent="0.2">
      <c r="D205" s="9"/>
      <c r="G205" s="9"/>
      <c r="J205" s="9"/>
      <c r="N205" s="9"/>
      <c r="O205" s="19"/>
      <c r="P205" s="19"/>
      <c r="R205" s="19"/>
      <c r="S205" s="9"/>
    </row>
    <row r="206" spans="4:19" s="18" customFormat="1" x14ac:dyDescent="0.2">
      <c r="D206" s="9"/>
      <c r="G206" s="9"/>
      <c r="J206" s="9"/>
      <c r="N206" s="9"/>
      <c r="O206" s="19"/>
      <c r="P206" s="19"/>
      <c r="R206" s="19"/>
      <c r="S206" s="9"/>
    </row>
    <row r="207" spans="4:19" s="18" customFormat="1" x14ac:dyDescent="0.2">
      <c r="D207" s="9"/>
      <c r="G207" s="9"/>
      <c r="J207" s="9"/>
      <c r="N207" s="9"/>
      <c r="O207" s="19"/>
      <c r="P207" s="19"/>
      <c r="R207" s="19"/>
      <c r="S207" s="9"/>
    </row>
    <row r="208" spans="4:19" s="18" customFormat="1" x14ac:dyDescent="0.2">
      <c r="D208" s="9"/>
      <c r="G208" s="9"/>
      <c r="J208" s="9"/>
      <c r="N208" s="9"/>
      <c r="O208" s="19"/>
      <c r="P208" s="19"/>
      <c r="R208" s="19"/>
      <c r="S208" s="9"/>
    </row>
    <row r="209" spans="4:19" s="18" customFormat="1" x14ac:dyDescent="0.2">
      <c r="D209" s="9"/>
      <c r="G209" s="9"/>
      <c r="J209" s="9"/>
      <c r="N209" s="9"/>
      <c r="O209" s="19"/>
      <c r="P209" s="19"/>
      <c r="R209" s="19"/>
      <c r="S209" s="9"/>
    </row>
    <row r="210" spans="4:19" s="18" customFormat="1" x14ac:dyDescent="0.2">
      <c r="D210" s="9"/>
      <c r="G210" s="9"/>
      <c r="J210" s="9"/>
      <c r="N210" s="9"/>
      <c r="O210" s="19"/>
      <c r="P210" s="19"/>
      <c r="R210" s="19"/>
      <c r="S210" s="9"/>
    </row>
    <row r="211" spans="4:19" s="18" customFormat="1" x14ac:dyDescent="0.2">
      <c r="D211" s="9"/>
      <c r="G211" s="9"/>
      <c r="J211" s="9"/>
      <c r="N211" s="9"/>
      <c r="O211" s="19"/>
      <c r="P211" s="19"/>
      <c r="R211" s="19"/>
      <c r="S211" s="9"/>
    </row>
    <row r="212" spans="4:19" s="18" customFormat="1" x14ac:dyDescent="0.2">
      <c r="D212" s="9"/>
      <c r="G212" s="9"/>
      <c r="J212" s="9"/>
      <c r="N212" s="9"/>
      <c r="O212" s="19"/>
      <c r="P212" s="19"/>
      <c r="R212" s="19"/>
      <c r="S212" s="9"/>
    </row>
    <row r="213" spans="4:19" s="18" customFormat="1" x14ac:dyDescent="0.2">
      <c r="D213" s="9"/>
      <c r="G213" s="9"/>
      <c r="J213" s="9"/>
      <c r="N213" s="9"/>
      <c r="O213" s="19"/>
      <c r="P213" s="19"/>
      <c r="R213" s="19"/>
      <c r="S213" s="9"/>
    </row>
    <row r="214" spans="4:19" s="18" customFormat="1" x14ac:dyDescent="0.2">
      <c r="D214" s="9"/>
      <c r="G214" s="9"/>
      <c r="J214" s="9"/>
      <c r="N214" s="9"/>
      <c r="O214" s="19"/>
      <c r="P214" s="19"/>
      <c r="R214" s="19"/>
      <c r="S214" s="9"/>
    </row>
    <row r="215" spans="4:19" s="18" customFormat="1" x14ac:dyDescent="0.2">
      <c r="D215" s="9"/>
      <c r="G215" s="9"/>
      <c r="J215" s="9"/>
      <c r="N215" s="9"/>
      <c r="O215" s="19"/>
      <c r="P215" s="19"/>
      <c r="R215" s="19"/>
      <c r="S215" s="9"/>
    </row>
    <row r="216" spans="4:19" s="18" customFormat="1" x14ac:dyDescent="0.2">
      <c r="D216" s="9"/>
      <c r="G216" s="9"/>
      <c r="J216" s="9"/>
      <c r="N216" s="9"/>
      <c r="O216" s="19"/>
      <c r="P216" s="19"/>
      <c r="R216" s="19"/>
      <c r="S216" s="9"/>
    </row>
    <row r="217" spans="4:19" s="18" customFormat="1" x14ac:dyDescent="0.2">
      <c r="D217" s="9"/>
      <c r="G217" s="9"/>
      <c r="J217" s="9"/>
      <c r="N217" s="9"/>
      <c r="O217" s="19"/>
      <c r="P217" s="19"/>
      <c r="R217" s="19"/>
      <c r="S217" s="9"/>
    </row>
    <row r="218" spans="4:19" s="18" customFormat="1" x14ac:dyDescent="0.2">
      <c r="D218" s="9"/>
      <c r="G218" s="9"/>
      <c r="J218" s="9"/>
      <c r="N218" s="9"/>
      <c r="O218" s="19"/>
      <c r="P218" s="19"/>
      <c r="R218" s="19"/>
      <c r="S218" s="9"/>
    </row>
    <row r="219" spans="4:19" s="18" customFormat="1" x14ac:dyDescent="0.2">
      <c r="D219" s="9"/>
      <c r="G219" s="9"/>
      <c r="J219" s="9"/>
      <c r="N219" s="9"/>
      <c r="O219" s="19"/>
      <c r="P219" s="19"/>
      <c r="R219" s="19"/>
      <c r="S219" s="9"/>
    </row>
    <row r="220" spans="4:19" s="18" customFormat="1" x14ac:dyDescent="0.2">
      <c r="D220" s="9"/>
      <c r="G220" s="9"/>
      <c r="J220" s="9"/>
      <c r="N220" s="9"/>
      <c r="O220" s="19"/>
      <c r="P220" s="19"/>
      <c r="R220" s="19"/>
      <c r="S220" s="9"/>
    </row>
    <row r="221" spans="4:19" s="18" customFormat="1" x14ac:dyDescent="0.2">
      <c r="D221" s="9"/>
      <c r="G221" s="9"/>
      <c r="J221" s="9"/>
      <c r="N221" s="9"/>
      <c r="O221" s="19"/>
      <c r="P221" s="19"/>
      <c r="R221" s="19"/>
      <c r="S221" s="9"/>
    </row>
    <row r="222" spans="4:19" s="18" customFormat="1" x14ac:dyDescent="0.2">
      <c r="D222" s="9"/>
      <c r="G222" s="9"/>
      <c r="J222" s="9"/>
      <c r="N222" s="9"/>
      <c r="O222" s="19"/>
      <c r="P222" s="19"/>
      <c r="R222" s="19"/>
      <c r="S222" s="9"/>
    </row>
    <row r="223" spans="4:19" s="18" customFormat="1" x14ac:dyDescent="0.2">
      <c r="D223" s="9"/>
      <c r="G223" s="9"/>
      <c r="J223" s="9"/>
      <c r="N223" s="9"/>
      <c r="O223" s="19"/>
      <c r="P223" s="19"/>
      <c r="R223" s="19"/>
      <c r="S223" s="9"/>
    </row>
    <row r="224" spans="4:19" s="18" customFormat="1" x14ac:dyDescent="0.2">
      <c r="D224" s="9"/>
      <c r="G224" s="9"/>
      <c r="J224" s="9"/>
      <c r="N224" s="9"/>
      <c r="O224" s="19"/>
      <c r="P224" s="19"/>
      <c r="R224" s="19"/>
      <c r="S224" s="9"/>
    </row>
    <row r="225" spans="4:19" s="18" customFormat="1" x14ac:dyDescent="0.2">
      <c r="D225" s="9"/>
      <c r="G225" s="9"/>
      <c r="J225" s="9"/>
      <c r="N225" s="9"/>
      <c r="O225" s="19"/>
      <c r="P225" s="19"/>
      <c r="R225" s="19"/>
      <c r="S225" s="9"/>
    </row>
    <row r="226" spans="4:19" s="18" customFormat="1" x14ac:dyDescent="0.2">
      <c r="D226" s="9"/>
      <c r="G226" s="9"/>
      <c r="J226" s="9"/>
      <c r="N226" s="9"/>
      <c r="O226" s="19"/>
      <c r="P226" s="19"/>
      <c r="R226" s="19"/>
      <c r="S226" s="9"/>
    </row>
    <row r="227" spans="4:19" s="18" customFormat="1" x14ac:dyDescent="0.2">
      <c r="D227" s="9"/>
      <c r="G227" s="9"/>
      <c r="J227" s="9"/>
      <c r="N227" s="9"/>
      <c r="O227" s="19"/>
      <c r="P227" s="19"/>
      <c r="R227" s="19"/>
      <c r="S227" s="9"/>
    </row>
    <row r="228" spans="4:19" s="18" customFormat="1" x14ac:dyDescent="0.2">
      <c r="D228" s="9"/>
      <c r="G228" s="9"/>
      <c r="J228" s="9"/>
      <c r="N228" s="9"/>
      <c r="O228" s="19"/>
      <c r="P228" s="19"/>
      <c r="R228" s="19"/>
      <c r="S228" s="9"/>
    </row>
    <row r="229" spans="4:19" s="18" customFormat="1" x14ac:dyDescent="0.2">
      <c r="D229" s="9"/>
      <c r="G229" s="9"/>
      <c r="J229" s="9"/>
      <c r="N229" s="9"/>
      <c r="O229" s="19"/>
      <c r="P229" s="19"/>
      <c r="R229" s="19"/>
      <c r="S229" s="9"/>
    </row>
    <row r="230" spans="4:19" s="18" customFormat="1" x14ac:dyDescent="0.2">
      <c r="D230" s="9"/>
      <c r="G230" s="9"/>
      <c r="J230" s="9"/>
      <c r="N230" s="9"/>
      <c r="O230" s="19"/>
      <c r="P230" s="19"/>
      <c r="R230" s="19"/>
      <c r="S230" s="9"/>
    </row>
    <row r="231" spans="4:19" s="18" customFormat="1" x14ac:dyDescent="0.2">
      <c r="D231" s="9"/>
      <c r="G231" s="9"/>
      <c r="J231" s="9"/>
      <c r="N231" s="9"/>
      <c r="O231" s="19"/>
      <c r="P231" s="19"/>
      <c r="R231" s="19"/>
      <c r="S231" s="9"/>
    </row>
    <row r="232" spans="4:19" s="18" customFormat="1" x14ac:dyDescent="0.2">
      <c r="D232" s="9"/>
      <c r="G232" s="9"/>
      <c r="J232" s="9"/>
      <c r="N232" s="9"/>
      <c r="O232" s="19"/>
      <c r="P232" s="19"/>
      <c r="R232" s="19"/>
      <c r="S232" s="9"/>
    </row>
    <row r="233" spans="4:19" s="18" customFormat="1" x14ac:dyDescent="0.2">
      <c r="D233" s="9"/>
      <c r="G233" s="9"/>
      <c r="J233" s="9"/>
      <c r="N233" s="9"/>
      <c r="O233" s="19"/>
      <c r="P233" s="19"/>
      <c r="R233" s="19"/>
      <c r="S233" s="9"/>
    </row>
    <row r="234" spans="4:19" s="18" customFormat="1" x14ac:dyDescent="0.2">
      <c r="D234" s="9"/>
      <c r="G234" s="9"/>
      <c r="J234" s="9"/>
      <c r="N234" s="9"/>
      <c r="O234" s="19"/>
      <c r="P234" s="19"/>
      <c r="R234" s="19"/>
      <c r="S234" s="9"/>
    </row>
    <row r="235" spans="4:19" s="18" customFormat="1" x14ac:dyDescent="0.2">
      <c r="D235" s="9"/>
      <c r="G235" s="9"/>
      <c r="J235" s="9"/>
      <c r="N235" s="9"/>
      <c r="O235" s="19"/>
      <c r="P235" s="19"/>
      <c r="R235" s="19"/>
      <c r="S235" s="9"/>
    </row>
    <row r="236" spans="4:19" s="18" customFormat="1" x14ac:dyDescent="0.2">
      <c r="D236" s="9"/>
      <c r="G236" s="9"/>
      <c r="J236" s="9"/>
      <c r="N236" s="9"/>
      <c r="O236" s="19"/>
      <c r="P236" s="19"/>
      <c r="R236" s="19"/>
      <c r="S236" s="9"/>
    </row>
    <row r="237" spans="4:19" s="18" customFormat="1" x14ac:dyDescent="0.2">
      <c r="D237" s="9"/>
      <c r="G237" s="9"/>
      <c r="J237" s="9"/>
      <c r="N237" s="9"/>
      <c r="O237" s="19"/>
      <c r="P237" s="19"/>
      <c r="R237" s="19"/>
      <c r="S237" s="9"/>
    </row>
    <row r="238" spans="4:19" s="18" customFormat="1" x14ac:dyDescent="0.2">
      <c r="D238" s="9"/>
      <c r="G238" s="9"/>
      <c r="J238" s="9"/>
      <c r="N238" s="9"/>
      <c r="O238" s="19"/>
      <c r="P238" s="19"/>
      <c r="R238" s="19"/>
      <c r="S238" s="9"/>
    </row>
    <row r="239" spans="4:19" s="18" customFormat="1" x14ac:dyDescent="0.2">
      <c r="D239" s="9"/>
      <c r="G239" s="9"/>
      <c r="J239" s="9"/>
      <c r="N239" s="9"/>
      <c r="O239" s="19"/>
      <c r="P239" s="19"/>
      <c r="R239" s="19"/>
      <c r="S239" s="9"/>
    </row>
    <row r="240" spans="4:19" s="18" customFormat="1" x14ac:dyDescent="0.2">
      <c r="D240" s="9"/>
      <c r="G240" s="9"/>
      <c r="J240" s="9"/>
      <c r="N240" s="9"/>
      <c r="O240" s="19"/>
      <c r="P240" s="19"/>
      <c r="R240" s="19"/>
      <c r="S240" s="9"/>
    </row>
    <row r="241" spans="4:19" s="18" customFormat="1" x14ac:dyDescent="0.2">
      <c r="D241" s="9"/>
      <c r="G241" s="9"/>
      <c r="J241" s="9"/>
      <c r="N241" s="9"/>
      <c r="O241" s="19"/>
      <c r="P241" s="19"/>
      <c r="R241" s="19"/>
      <c r="S241" s="9"/>
    </row>
    <row r="242" spans="4:19" s="18" customFormat="1" x14ac:dyDescent="0.2">
      <c r="D242" s="9"/>
      <c r="G242" s="9"/>
      <c r="J242" s="9"/>
      <c r="N242" s="9"/>
      <c r="O242" s="19"/>
      <c r="P242" s="19"/>
      <c r="R242" s="19"/>
      <c r="S242" s="9"/>
    </row>
    <row r="243" spans="4:19" s="18" customFormat="1" x14ac:dyDescent="0.2">
      <c r="D243" s="9"/>
      <c r="G243" s="9"/>
      <c r="J243" s="9"/>
      <c r="N243" s="9"/>
      <c r="O243" s="19"/>
      <c r="P243" s="19"/>
      <c r="R243" s="19"/>
      <c r="S243" s="9"/>
    </row>
    <row r="244" spans="4:19" s="18" customFormat="1" x14ac:dyDescent="0.2">
      <c r="D244" s="9"/>
      <c r="G244" s="9"/>
      <c r="J244" s="9"/>
      <c r="N244" s="9"/>
      <c r="O244" s="19"/>
      <c r="P244" s="19"/>
      <c r="R244" s="19"/>
      <c r="S244" s="9"/>
    </row>
    <row r="245" spans="4:19" s="18" customFormat="1" x14ac:dyDescent="0.2">
      <c r="D245" s="9"/>
      <c r="G245" s="9"/>
      <c r="J245" s="9"/>
      <c r="N245" s="9"/>
      <c r="O245" s="19"/>
      <c r="P245" s="19"/>
      <c r="R245" s="19"/>
      <c r="S245" s="9"/>
    </row>
    <row r="246" spans="4:19" s="18" customFormat="1" x14ac:dyDescent="0.2">
      <c r="D246" s="9"/>
      <c r="G246" s="9"/>
      <c r="J246" s="9"/>
      <c r="N246" s="9"/>
      <c r="O246" s="19"/>
      <c r="P246" s="19"/>
      <c r="R246" s="19"/>
      <c r="S246" s="9"/>
    </row>
    <row r="247" spans="4:19" s="18" customFormat="1" x14ac:dyDescent="0.2">
      <c r="D247" s="9"/>
      <c r="G247" s="9"/>
      <c r="J247" s="9"/>
      <c r="N247" s="9"/>
      <c r="O247" s="19"/>
      <c r="P247" s="19"/>
      <c r="R247" s="19"/>
      <c r="S247" s="9"/>
    </row>
    <row r="248" spans="4:19" s="18" customFormat="1" x14ac:dyDescent="0.2">
      <c r="D248" s="9"/>
      <c r="G248" s="9"/>
      <c r="J248" s="9"/>
      <c r="N248" s="9"/>
      <c r="O248" s="19"/>
      <c r="P248" s="19"/>
      <c r="R248" s="19"/>
      <c r="S248" s="9"/>
    </row>
    <row r="249" spans="4:19" s="18" customFormat="1" x14ac:dyDescent="0.2">
      <c r="D249" s="9"/>
      <c r="G249" s="9"/>
      <c r="J249" s="9"/>
      <c r="N249" s="9"/>
      <c r="O249" s="19"/>
      <c r="P249" s="19"/>
      <c r="R249" s="19"/>
      <c r="S249" s="9"/>
    </row>
    <row r="250" spans="4:19" s="18" customFormat="1" x14ac:dyDescent="0.2">
      <c r="D250" s="9"/>
      <c r="G250" s="9"/>
      <c r="J250" s="9"/>
      <c r="N250" s="9"/>
      <c r="O250" s="19"/>
      <c r="P250" s="19"/>
      <c r="R250" s="19"/>
      <c r="S250" s="9"/>
    </row>
    <row r="251" spans="4:19" s="18" customFormat="1" x14ac:dyDescent="0.2">
      <c r="D251" s="9"/>
      <c r="G251" s="9"/>
      <c r="J251" s="9"/>
      <c r="N251" s="9"/>
      <c r="O251" s="19"/>
      <c r="P251" s="19"/>
      <c r="R251" s="19"/>
      <c r="S251" s="9"/>
    </row>
    <row r="252" spans="4:19" s="18" customFormat="1" x14ac:dyDescent="0.2">
      <c r="D252" s="9"/>
      <c r="G252" s="9"/>
      <c r="J252" s="9"/>
      <c r="N252" s="9"/>
      <c r="O252" s="19"/>
      <c r="P252" s="19"/>
      <c r="R252" s="19"/>
      <c r="S252" s="9"/>
    </row>
    <row r="253" spans="4:19" s="18" customFormat="1" x14ac:dyDescent="0.2">
      <c r="D253" s="9"/>
      <c r="G253" s="9"/>
      <c r="J253" s="9"/>
      <c r="N253" s="9"/>
      <c r="O253" s="19"/>
      <c r="P253" s="19"/>
      <c r="R253" s="19"/>
      <c r="S253" s="9"/>
    </row>
    <row r="254" spans="4:19" s="18" customFormat="1" x14ac:dyDescent="0.2">
      <c r="D254" s="9"/>
      <c r="G254" s="9"/>
      <c r="J254" s="9"/>
      <c r="N254" s="9"/>
      <c r="O254" s="19"/>
      <c r="P254" s="19"/>
      <c r="R254" s="19"/>
      <c r="S254" s="9"/>
    </row>
    <row r="255" spans="4:19" s="18" customFormat="1" x14ac:dyDescent="0.2">
      <c r="D255" s="9"/>
      <c r="G255" s="9"/>
      <c r="J255" s="9"/>
      <c r="N255" s="9"/>
      <c r="O255" s="19"/>
      <c r="P255" s="19"/>
      <c r="R255" s="19"/>
      <c r="S255" s="9"/>
    </row>
    <row r="256" spans="4:19" s="18" customFormat="1" x14ac:dyDescent="0.2">
      <c r="D256" s="9"/>
      <c r="G256" s="9"/>
      <c r="J256" s="9"/>
      <c r="N256" s="9"/>
      <c r="O256" s="19"/>
      <c r="P256" s="19"/>
      <c r="R256" s="19"/>
      <c r="S256" s="9"/>
    </row>
    <row r="257" spans="4:19" s="18" customFormat="1" x14ac:dyDescent="0.2">
      <c r="D257" s="9"/>
      <c r="G257" s="9"/>
      <c r="J257" s="9"/>
      <c r="N257" s="9"/>
      <c r="O257" s="19"/>
      <c r="P257" s="19"/>
      <c r="R257" s="19"/>
      <c r="S257" s="9"/>
    </row>
    <row r="258" spans="4:19" s="18" customFormat="1" x14ac:dyDescent="0.2">
      <c r="D258" s="9"/>
      <c r="G258" s="9"/>
      <c r="J258" s="9"/>
      <c r="N258" s="9"/>
      <c r="O258" s="19"/>
      <c r="P258" s="19"/>
      <c r="R258" s="19"/>
      <c r="S258" s="9"/>
    </row>
    <row r="259" spans="4:19" s="18" customFormat="1" x14ac:dyDescent="0.2">
      <c r="D259" s="9"/>
      <c r="G259" s="9"/>
      <c r="J259" s="9"/>
      <c r="N259" s="9"/>
      <c r="O259" s="19"/>
      <c r="P259" s="19"/>
      <c r="R259" s="19"/>
      <c r="S259" s="9"/>
    </row>
    <row r="260" spans="4:19" s="18" customFormat="1" x14ac:dyDescent="0.2">
      <c r="D260" s="9"/>
      <c r="G260" s="9"/>
      <c r="J260" s="9"/>
      <c r="N260" s="9"/>
      <c r="O260" s="19"/>
      <c r="P260" s="19"/>
      <c r="R260" s="19"/>
      <c r="S260" s="9"/>
    </row>
    <row r="261" spans="4:19" s="18" customFormat="1" x14ac:dyDescent="0.2">
      <c r="D261" s="9"/>
      <c r="G261" s="9"/>
      <c r="J261" s="9"/>
      <c r="N261" s="9"/>
      <c r="O261" s="19"/>
      <c r="P261" s="19"/>
      <c r="R261" s="19"/>
      <c r="S261" s="9"/>
    </row>
    <row r="262" spans="4:19" s="18" customFormat="1" x14ac:dyDescent="0.2">
      <c r="D262" s="9"/>
      <c r="G262" s="9"/>
      <c r="J262" s="9"/>
      <c r="N262" s="9"/>
      <c r="O262" s="19"/>
      <c r="P262" s="19"/>
      <c r="R262" s="19"/>
      <c r="S262" s="9"/>
    </row>
    <row r="263" spans="4:19" s="18" customFormat="1" x14ac:dyDescent="0.2">
      <c r="D263" s="9"/>
      <c r="G263" s="9"/>
      <c r="J263" s="9"/>
      <c r="N263" s="9"/>
      <c r="O263" s="19"/>
      <c r="P263" s="19"/>
      <c r="R263" s="19"/>
      <c r="S263" s="9"/>
    </row>
    <row r="264" spans="4:19" s="18" customFormat="1" x14ac:dyDescent="0.2">
      <c r="D264" s="9"/>
      <c r="G264" s="9"/>
      <c r="J264" s="9"/>
      <c r="N264" s="9"/>
      <c r="O264" s="19"/>
      <c r="P264" s="19"/>
      <c r="R264" s="19"/>
      <c r="S264" s="9"/>
    </row>
    <row r="265" spans="4:19" s="18" customFormat="1" x14ac:dyDescent="0.2">
      <c r="D265" s="9"/>
      <c r="G265" s="9"/>
      <c r="J265" s="9"/>
      <c r="N265" s="9"/>
      <c r="O265" s="19"/>
      <c r="P265" s="19"/>
      <c r="R265" s="19"/>
      <c r="S265" s="9"/>
    </row>
    <row r="266" spans="4:19" s="18" customFormat="1" x14ac:dyDescent="0.2">
      <c r="D266" s="9"/>
      <c r="G266" s="9"/>
      <c r="J266" s="9"/>
      <c r="N266" s="9"/>
      <c r="O266" s="19"/>
      <c r="P266" s="19"/>
      <c r="R266" s="19"/>
      <c r="S266" s="9"/>
    </row>
    <row r="267" spans="4:19" s="18" customFormat="1" x14ac:dyDescent="0.2">
      <c r="D267" s="9"/>
      <c r="G267" s="9"/>
      <c r="J267" s="9"/>
      <c r="N267" s="9"/>
      <c r="O267" s="19"/>
      <c r="P267" s="19"/>
      <c r="R267" s="19"/>
      <c r="S267" s="9"/>
    </row>
    <row r="268" spans="4:19" s="18" customFormat="1" x14ac:dyDescent="0.2">
      <c r="D268" s="9"/>
      <c r="G268" s="9"/>
      <c r="J268" s="9"/>
      <c r="N268" s="9"/>
      <c r="O268" s="19"/>
      <c r="P268" s="19"/>
      <c r="R268" s="19"/>
      <c r="S268" s="9"/>
    </row>
    <row r="269" spans="4:19" s="18" customFormat="1" x14ac:dyDescent="0.2">
      <c r="D269" s="9"/>
      <c r="G269" s="9"/>
      <c r="J269" s="9"/>
      <c r="N269" s="9"/>
      <c r="O269" s="19"/>
      <c r="P269" s="19"/>
      <c r="R269" s="19"/>
      <c r="S269" s="9"/>
    </row>
    <row r="270" spans="4:19" s="18" customFormat="1" x14ac:dyDescent="0.2">
      <c r="D270" s="9"/>
      <c r="G270" s="9"/>
      <c r="J270" s="9"/>
      <c r="N270" s="9"/>
      <c r="O270" s="19"/>
      <c r="P270" s="19"/>
      <c r="R270" s="19"/>
      <c r="S270" s="9"/>
    </row>
    <row r="271" spans="4:19" s="18" customFormat="1" x14ac:dyDescent="0.2">
      <c r="D271" s="9"/>
      <c r="G271" s="9"/>
      <c r="J271" s="9"/>
      <c r="N271" s="9"/>
      <c r="O271" s="19"/>
      <c r="P271" s="19"/>
      <c r="R271" s="19"/>
      <c r="S271" s="9"/>
    </row>
    <row r="272" spans="4:19" s="18" customFormat="1" x14ac:dyDescent="0.2">
      <c r="D272" s="9"/>
      <c r="G272" s="9"/>
      <c r="J272" s="9"/>
      <c r="N272" s="9"/>
      <c r="O272" s="19"/>
      <c r="P272" s="19"/>
      <c r="R272" s="19"/>
      <c r="S272" s="9"/>
    </row>
    <row r="273" spans="4:19" s="18" customFormat="1" x14ac:dyDescent="0.2">
      <c r="D273" s="9"/>
      <c r="G273" s="9"/>
      <c r="J273" s="9"/>
      <c r="N273" s="9"/>
      <c r="O273" s="19"/>
      <c r="P273" s="19"/>
      <c r="R273" s="19"/>
      <c r="S273" s="9"/>
    </row>
    <row r="274" spans="4:19" s="18" customFormat="1" x14ac:dyDescent="0.2">
      <c r="D274" s="9"/>
      <c r="G274" s="9"/>
      <c r="J274" s="9"/>
      <c r="N274" s="9"/>
      <c r="O274" s="19"/>
      <c r="P274" s="19"/>
      <c r="R274" s="19"/>
      <c r="S274" s="9"/>
    </row>
    <row r="275" spans="4:19" s="18" customFormat="1" x14ac:dyDescent="0.2">
      <c r="D275" s="9"/>
      <c r="G275" s="9"/>
      <c r="J275" s="9"/>
      <c r="N275" s="9"/>
      <c r="O275" s="19"/>
      <c r="P275" s="19"/>
      <c r="R275" s="19"/>
      <c r="S275" s="9"/>
    </row>
    <row r="276" spans="4:19" s="18" customFormat="1" x14ac:dyDescent="0.2">
      <c r="D276" s="9"/>
      <c r="G276" s="9"/>
      <c r="J276" s="9"/>
      <c r="N276" s="9"/>
      <c r="O276" s="19"/>
      <c r="P276" s="19"/>
      <c r="R276" s="19"/>
      <c r="S276" s="9"/>
    </row>
    <row r="277" spans="4:19" s="18" customFormat="1" x14ac:dyDescent="0.2">
      <c r="D277" s="9"/>
      <c r="G277" s="9"/>
      <c r="J277" s="9"/>
      <c r="N277" s="9"/>
      <c r="O277" s="19"/>
      <c r="P277" s="19"/>
      <c r="R277" s="19"/>
      <c r="S277" s="9"/>
    </row>
    <row r="278" spans="4:19" s="18" customFormat="1" x14ac:dyDescent="0.2">
      <c r="D278" s="9"/>
      <c r="G278" s="9"/>
      <c r="J278" s="9"/>
      <c r="N278" s="9"/>
      <c r="O278" s="19"/>
      <c r="P278" s="19"/>
      <c r="R278" s="19"/>
      <c r="S278" s="9"/>
    </row>
    <row r="279" spans="4:19" s="18" customFormat="1" x14ac:dyDescent="0.2">
      <c r="D279" s="9"/>
      <c r="G279" s="9"/>
      <c r="J279" s="9"/>
      <c r="N279" s="9"/>
      <c r="O279" s="19"/>
      <c r="P279" s="19"/>
      <c r="R279" s="19"/>
      <c r="S279" s="9"/>
    </row>
    <row r="280" spans="4:19" s="18" customFormat="1" x14ac:dyDescent="0.2">
      <c r="D280" s="9"/>
      <c r="G280" s="9"/>
      <c r="J280" s="9"/>
      <c r="N280" s="9"/>
      <c r="O280" s="19"/>
      <c r="P280" s="19"/>
      <c r="R280" s="19"/>
      <c r="S280" s="9"/>
    </row>
    <row r="281" spans="4:19" s="18" customFormat="1" x14ac:dyDescent="0.2">
      <c r="D281" s="9"/>
      <c r="G281" s="9"/>
      <c r="J281" s="9"/>
      <c r="N281" s="9"/>
      <c r="O281" s="19"/>
      <c r="P281" s="19"/>
      <c r="R281" s="19"/>
      <c r="S281" s="9"/>
    </row>
    <row r="282" spans="4:19" s="18" customFormat="1" x14ac:dyDescent="0.2">
      <c r="D282" s="9"/>
      <c r="G282" s="9"/>
      <c r="J282" s="9"/>
      <c r="N282" s="9"/>
      <c r="O282" s="19"/>
      <c r="P282" s="19"/>
      <c r="R282" s="19"/>
      <c r="S282" s="9"/>
    </row>
    <row r="283" spans="4:19" s="18" customFormat="1" x14ac:dyDescent="0.2">
      <c r="D283" s="9"/>
      <c r="G283" s="9"/>
      <c r="J283" s="9"/>
      <c r="N283" s="9"/>
      <c r="O283" s="19"/>
      <c r="P283" s="19"/>
      <c r="R283" s="19"/>
      <c r="S283" s="9"/>
    </row>
    <row r="284" spans="4:19" s="18" customFormat="1" x14ac:dyDescent="0.2">
      <c r="D284" s="9"/>
      <c r="G284" s="9"/>
      <c r="J284" s="9"/>
      <c r="N284" s="9"/>
      <c r="O284" s="19"/>
      <c r="P284" s="19"/>
      <c r="R284" s="19"/>
      <c r="S284" s="9"/>
    </row>
    <row r="285" spans="4:19" s="18" customFormat="1" x14ac:dyDescent="0.2">
      <c r="D285" s="9"/>
      <c r="G285" s="9"/>
      <c r="J285" s="9"/>
      <c r="N285" s="9"/>
      <c r="O285" s="19"/>
      <c r="P285" s="19"/>
      <c r="R285" s="19"/>
      <c r="S285" s="9"/>
    </row>
    <row r="286" spans="4:19" s="18" customFormat="1" x14ac:dyDescent="0.2">
      <c r="D286" s="9"/>
      <c r="G286" s="9"/>
      <c r="J286" s="9"/>
      <c r="N286" s="9"/>
      <c r="O286" s="19"/>
      <c r="P286" s="19"/>
      <c r="R286" s="19"/>
      <c r="S286" s="9"/>
    </row>
    <row r="287" spans="4:19" s="18" customFormat="1" x14ac:dyDescent="0.2">
      <c r="D287" s="9"/>
      <c r="G287" s="9"/>
      <c r="J287" s="9"/>
      <c r="N287" s="9"/>
      <c r="O287" s="19"/>
      <c r="P287" s="19"/>
      <c r="R287" s="19"/>
      <c r="S287" s="9"/>
    </row>
    <row r="288" spans="4:19" s="18" customFormat="1" x14ac:dyDescent="0.2">
      <c r="D288" s="9"/>
      <c r="G288" s="9"/>
      <c r="J288" s="9"/>
      <c r="N288" s="9"/>
      <c r="O288" s="19"/>
      <c r="P288" s="19"/>
      <c r="R288" s="19"/>
      <c r="S288" s="9"/>
    </row>
    <row r="289" spans="4:19" s="18" customFormat="1" x14ac:dyDescent="0.2">
      <c r="D289" s="9"/>
      <c r="G289" s="9"/>
      <c r="J289" s="9"/>
      <c r="N289" s="9"/>
      <c r="O289" s="19"/>
      <c r="P289" s="19"/>
      <c r="R289" s="19"/>
      <c r="S289" s="9"/>
    </row>
    <row r="290" spans="4:19" s="18" customFormat="1" x14ac:dyDescent="0.2">
      <c r="D290" s="9"/>
      <c r="G290" s="9"/>
      <c r="J290" s="9"/>
      <c r="N290" s="9"/>
      <c r="O290" s="19"/>
      <c r="P290" s="19"/>
      <c r="R290" s="19"/>
      <c r="S290" s="9"/>
    </row>
    <row r="291" spans="4:19" s="18" customFormat="1" x14ac:dyDescent="0.2">
      <c r="D291" s="9"/>
      <c r="G291" s="9"/>
      <c r="J291" s="9"/>
      <c r="N291" s="9"/>
      <c r="O291" s="19"/>
      <c r="P291" s="19"/>
      <c r="R291" s="19"/>
      <c r="S291" s="9"/>
    </row>
    <row r="292" spans="4:19" s="18" customFormat="1" x14ac:dyDescent="0.2">
      <c r="D292" s="9"/>
      <c r="G292" s="9"/>
      <c r="J292" s="9"/>
      <c r="N292" s="9"/>
      <c r="O292" s="19"/>
      <c r="P292" s="19"/>
      <c r="R292" s="19"/>
      <c r="S292" s="9"/>
    </row>
    <row r="293" spans="4:19" s="18" customFormat="1" x14ac:dyDescent="0.2">
      <c r="D293" s="9"/>
      <c r="G293" s="9"/>
      <c r="J293" s="9"/>
      <c r="N293" s="9"/>
      <c r="O293" s="19"/>
      <c r="P293" s="19"/>
      <c r="R293" s="19"/>
      <c r="S293" s="9"/>
    </row>
    <row r="294" spans="4:19" s="18" customFormat="1" x14ac:dyDescent="0.2">
      <c r="D294" s="9"/>
      <c r="G294" s="9"/>
      <c r="J294" s="9"/>
      <c r="N294" s="9"/>
      <c r="O294" s="19"/>
      <c r="P294" s="19"/>
      <c r="R294" s="19"/>
      <c r="S294" s="9"/>
    </row>
    <row r="295" spans="4:19" s="18" customFormat="1" x14ac:dyDescent="0.2">
      <c r="D295" s="9"/>
      <c r="G295" s="9"/>
      <c r="J295" s="9"/>
      <c r="N295" s="9"/>
      <c r="O295" s="19"/>
      <c r="P295" s="19"/>
      <c r="R295" s="19"/>
      <c r="S295" s="9"/>
    </row>
    <row r="296" spans="4:19" s="18" customFormat="1" x14ac:dyDescent="0.2">
      <c r="D296" s="9"/>
      <c r="G296" s="9"/>
      <c r="J296" s="9"/>
      <c r="N296" s="9"/>
      <c r="O296" s="19"/>
      <c r="P296" s="19"/>
      <c r="R296" s="19"/>
      <c r="S296" s="9"/>
    </row>
    <row r="297" spans="4:19" s="18" customFormat="1" x14ac:dyDescent="0.2">
      <c r="D297" s="9"/>
      <c r="G297" s="9"/>
      <c r="J297" s="9"/>
      <c r="N297" s="9"/>
      <c r="O297" s="19"/>
      <c r="P297" s="19"/>
      <c r="R297" s="19"/>
      <c r="S297" s="9"/>
    </row>
    <row r="298" spans="4:19" s="18" customFormat="1" x14ac:dyDescent="0.2">
      <c r="D298" s="9"/>
      <c r="G298" s="9"/>
      <c r="J298" s="9"/>
      <c r="N298" s="9"/>
      <c r="O298" s="19"/>
      <c r="P298" s="19"/>
      <c r="R298" s="19"/>
      <c r="S298" s="9"/>
    </row>
    <row r="299" spans="4:19" s="18" customFormat="1" x14ac:dyDescent="0.2">
      <c r="D299" s="9"/>
      <c r="G299" s="9"/>
      <c r="J299" s="9"/>
      <c r="N299" s="9"/>
      <c r="O299" s="19"/>
      <c r="P299" s="19"/>
      <c r="R299" s="19"/>
      <c r="S299" s="9"/>
    </row>
    <row r="300" spans="4:19" s="18" customFormat="1" x14ac:dyDescent="0.2">
      <c r="D300" s="9"/>
      <c r="G300" s="9"/>
      <c r="J300" s="9"/>
      <c r="N300" s="9"/>
      <c r="O300" s="19"/>
      <c r="P300" s="19"/>
      <c r="R300" s="19"/>
      <c r="S300" s="9"/>
    </row>
    <row r="301" spans="4:19" s="18" customFormat="1" x14ac:dyDescent="0.2">
      <c r="D301" s="9"/>
      <c r="G301" s="9"/>
      <c r="J301" s="9"/>
      <c r="N301" s="9"/>
      <c r="O301" s="19"/>
      <c r="P301" s="19"/>
      <c r="R301" s="19"/>
      <c r="S301" s="9"/>
    </row>
    <row r="302" spans="4:19" s="18" customFormat="1" x14ac:dyDescent="0.2">
      <c r="D302" s="9"/>
      <c r="G302" s="9"/>
      <c r="J302" s="9"/>
      <c r="N302" s="9"/>
      <c r="O302" s="19"/>
      <c r="P302" s="19"/>
      <c r="R302" s="19"/>
      <c r="S302" s="9"/>
    </row>
    <row r="303" spans="4:19" s="18" customFormat="1" x14ac:dyDescent="0.2">
      <c r="D303" s="9"/>
      <c r="G303" s="9"/>
      <c r="J303" s="9"/>
      <c r="N303" s="9"/>
      <c r="O303" s="19"/>
      <c r="P303" s="19"/>
      <c r="R303" s="19"/>
      <c r="S303" s="9"/>
    </row>
    <row r="304" spans="4:19" s="18" customFormat="1" x14ac:dyDescent="0.2">
      <c r="D304" s="9"/>
      <c r="G304" s="9"/>
      <c r="J304" s="9"/>
      <c r="N304" s="9"/>
      <c r="O304" s="19"/>
      <c r="P304" s="19"/>
      <c r="R304" s="19"/>
      <c r="S304" s="9"/>
    </row>
    <row r="305" spans="4:19" s="18" customFormat="1" x14ac:dyDescent="0.2">
      <c r="D305" s="9"/>
      <c r="G305" s="9"/>
      <c r="J305" s="9"/>
      <c r="N305" s="9"/>
      <c r="O305" s="19"/>
      <c r="P305" s="19"/>
      <c r="R305" s="19"/>
      <c r="S305" s="9"/>
    </row>
    <row r="306" spans="4:19" s="18" customFormat="1" x14ac:dyDescent="0.2">
      <c r="D306" s="9"/>
      <c r="G306" s="9"/>
      <c r="J306" s="9"/>
      <c r="N306" s="9"/>
      <c r="O306" s="19"/>
      <c r="P306" s="19"/>
      <c r="R306" s="19"/>
      <c r="S306" s="9"/>
    </row>
    <row r="307" spans="4:19" s="18" customFormat="1" x14ac:dyDescent="0.2">
      <c r="D307" s="9"/>
      <c r="G307" s="9"/>
      <c r="J307" s="9"/>
      <c r="N307" s="9"/>
      <c r="O307" s="19"/>
      <c r="P307" s="19"/>
      <c r="R307" s="19"/>
      <c r="S307" s="9"/>
    </row>
    <row r="308" spans="4:19" s="18" customFormat="1" x14ac:dyDescent="0.2">
      <c r="D308" s="9"/>
      <c r="G308" s="9"/>
      <c r="J308" s="9"/>
      <c r="N308" s="9"/>
      <c r="O308" s="19"/>
      <c r="P308" s="19"/>
      <c r="R308" s="19"/>
      <c r="S308" s="9"/>
    </row>
    <row r="309" spans="4:19" s="18" customFormat="1" x14ac:dyDescent="0.2">
      <c r="D309" s="9"/>
      <c r="G309" s="9"/>
      <c r="J309" s="9"/>
      <c r="N309" s="9"/>
      <c r="O309" s="19"/>
      <c r="P309" s="19"/>
      <c r="R309" s="19"/>
      <c r="S309" s="9"/>
    </row>
    <row r="310" spans="4:19" s="18" customFormat="1" x14ac:dyDescent="0.2">
      <c r="D310" s="9"/>
      <c r="G310" s="9"/>
      <c r="J310" s="9"/>
      <c r="N310" s="9"/>
      <c r="O310" s="19"/>
      <c r="P310" s="19"/>
      <c r="R310" s="19"/>
      <c r="S310" s="9"/>
    </row>
    <row r="311" spans="4:19" s="18" customFormat="1" x14ac:dyDescent="0.2">
      <c r="D311" s="9"/>
      <c r="G311" s="9"/>
      <c r="J311" s="9"/>
      <c r="N311" s="9"/>
      <c r="O311" s="19"/>
      <c r="P311" s="19"/>
      <c r="R311" s="19"/>
      <c r="S311" s="9"/>
    </row>
    <row r="312" spans="4:19" s="18" customFormat="1" x14ac:dyDescent="0.2">
      <c r="D312" s="9"/>
      <c r="G312" s="9"/>
      <c r="J312" s="9"/>
      <c r="N312" s="9"/>
      <c r="O312" s="19"/>
      <c r="P312" s="19"/>
      <c r="R312" s="19"/>
      <c r="S312" s="9"/>
    </row>
    <row r="313" spans="4:19" s="18" customFormat="1" x14ac:dyDescent="0.2">
      <c r="D313" s="9"/>
      <c r="G313" s="9"/>
      <c r="J313" s="9"/>
      <c r="N313" s="9"/>
      <c r="O313" s="19"/>
      <c r="P313" s="19"/>
      <c r="R313" s="19"/>
      <c r="S313" s="9"/>
    </row>
    <row r="314" spans="4:19" s="18" customFormat="1" x14ac:dyDescent="0.2">
      <c r="D314" s="9"/>
      <c r="G314" s="9"/>
      <c r="J314" s="9"/>
      <c r="N314" s="9"/>
      <c r="O314" s="19"/>
      <c r="P314" s="19"/>
      <c r="R314" s="19"/>
      <c r="S314" s="9"/>
    </row>
    <row r="315" spans="4:19" s="18" customFormat="1" x14ac:dyDescent="0.2">
      <c r="D315" s="9"/>
      <c r="G315" s="9"/>
      <c r="J315" s="9"/>
      <c r="N315" s="9"/>
      <c r="O315" s="19"/>
      <c r="P315" s="19"/>
      <c r="R315" s="19"/>
      <c r="S315" s="9"/>
    </row>
    <row r="316" spans="4:19" s="18" customFormat="1" x14ac:dyDescent="0.2">
      <c r="D316" s="9"/>
      <c r="G316" s="9"/>
      <c r="J316" s="9"/>
      <c r="N316" s="9"/>
      <c r="O316" s="19"/>
      <c r="P316" s="19"/>
      <c r="R316" s="19"/>
      <c r="S316" s="9"/>
    </row>
    <row r="317" spans="4:19" s="18" customFormat="1" x14ac:dyDescent="0.2">
      <c r="D317" s="9"/>
      <c r="G317" s="9"/>
      <c r="J317" s="9"/>
      <c r="N317" s="9"/>
      <c r="O317" s="19"/>
      <c r="P317" s="19"/>
      <c r="R317" s="19"/>
      <c r="S317" s="9"/>
    </row>
    <row r="318" spans="4:19" s="18" customFormat="1" x14ac:dyDescent="0.2">
      <c r="D318" s="9"/>
      <c r="G318" s="9"/>
      <c r="J318" s="9"/>
      <c r="N318" s="9"/>
      <c r="O318" s="19"/>
      <c r="P318" s="19"/>
      <c r="R318" s="19"/>
      <c r="S318" s="9"/>
    </row>
    <row r="319" spans="4:19" s="18" customFormat="1" x14ac:dyDescent="0.2">
      <c r="D319" s="9"/>
      <c r="G319" s="9"/>
      <c r="J319" s="9"/>
      <c r="N319" s="9"/>
      <c r="O319" s="19"/>
      <c r="P319" s="19"/>
      <c r="R319" s="19"/>
      <c r="S319" s="9"/>
    </row>
    <row r="320" spans="4:19" s="18" customFormat="1" x14ac:dyDescent="0.2">
      <c r="D320" s="9"/>
      <c r="G320" s="9"/>
      <c r="J320" s="9"/>
      <c r="N320" s="9"/>
      <c r="O320" s="19"/>
      <c r="P320" s="19"/>
      <c r="R320" s="19"/>
      <c r="S320" s="9"/>
    </row>
    <row r="321" spans="4:19" s="18" customFormat="1" x14ac:dyDescent="0.2">
      <c r="D321" s="9"/>
      <c r="G321" s="9"/>
      <c r="J321" s="9"/>
      <c r="N321" s="9"/>
      <c r="O321" s="19"/>
      <c r="P321" s="19"/>
      <c r="R321" s="19"/>
      <c r="S321" s="9"/>
    </row>
    <row r="322" spans="4:19" s="18" customFormat="1" x14ac:dyDescent="0.2">
      <c r="D322" s="9"/>
      <c r="G322" s="9"/>
      <c r="J322" s="9"/>
      <c r="N322" s="9"/>
      <c r="O322" s="19"/>
      <c r="P322" s="19"/>
      <c r="R322" s="19"/>
      <c r="S322" s="9"/>
    </row>
    <row r="323" spans="4:19" s="18" customFormat="1" x14ac:dyDescent="0.2">
      <c r="D323" s="9"/>
      <c r="G323" s="9"/>
      <c r="J323" s="9"/>
      <c r="N323" s="9"/>
      <c r="O323" s="19"/>
      <c r="P323" s="19"/>
      <c r="R323" s="19"/>
      <c r="S323" s="9"/>
    </row>
    <row r="324" spans="4:19" s="18" customFormat="1" x14ac:dyDescent="0.2">
      <c r="D324" s="9"/>
      <c r="G324" s="9"/>
      <c r="J324" s="9"/>
      <c r="N324" s="9"/>
      <c r="O324" s="19"/>
      <c r="P324" s="19"/>
      <c r="R324" s="19"/>
      <c r="S324" s="9"/>
    </row>
    <row r="325" spans="4:19" s="18" customFormat="1" x14ac:dyDescent="0.2">
      <c r="D325" s="9"/>
      <c r="G325" s="9"/>
      <c r="J325" s="9"/>
      <c r="N325" s="9"/>
      <c r="O325" s="19"/>
      <c r="P325" s="19"/>
      <c r="R325" s="19"/>
      <c r="S325" s="9"/>
    </row>
    <row r="326" spans="4:19" s="18" customFormat="1" x14ac:dyDescent="0.2">
      <c r="D326" s="9"/>
      <c r="G326" s="9"/>
      <c r="J326" s="9"/>
      <c r="N326" s="9"/>
      <c r="O326" s="19"/>
      <c r="P326" s="19"/>
      <c r="R326" s="19"/>
      <c r="S326" s="9"/>
    </row>
    <row r="327" spans="4:19" s="18" customFormat="1" x14ac:dyDescent="0.2">
      <c r="D327" s="9"/>
      <c r="G327" s="9"/>
      <c r="J327" s="9"/>
      <c r="N327" s="9"/>
      <c r="O327" s="19"/>
      <c r="P327" s="19"/>
      <c r="R327" s="19"/>
      <c r="S327" s="9"/>
    </row>
    <row r="328" spans="4:19" s="18" customFormat="1" x14ac:dyDescent="0.2">
      <c r="D328" s="9"/>
      <c r="G328" s="9"/>
      <c r="J328" s="9"/>
      <c r="N328" s="9"/>
      <c r="O328" s="19"/>
      <c r="P328" s="19"/>
      <c r="R328" s="19"/>
      <c r="S328" s="9"/>
    </row>
    <row r="329" spans="4:19" s="18" customFormat="1" x14ac:dyDescent="0.2">
      <c r="D329" s="9"/>
      <c r="G329" s="9"/>
      <c r="J329" s="9"/>
      <c r="N329" s="9"/>
      <c r="O329" s="19"/>
      <c r="P329" s="19"/>
      <c r="R329" s="19"/>
      <c r="S329" s="9"/>
    </row>
    <row r="330" spans="4:19" s="18" customFormat="1" x14ac:dyDescent="0.2">
      <c r="D330" s="9"/>
      <c r="G330" s="9"/>
      <c r="J330" s="9"/>
      <c r="N330" s="9"/>
      <c r="O330" s="19"/>
      <c r="P330" s="19"/>
      <c r="R330" s="19"/>
      <c r="S330" s="9"/>
    </row>
    <row r="331" spans="4:19" s="18" customFormat="1" x14ac:dyDescent="0.2">
      <c r="D331" s="9"/>
      <c r="G331" s="9"/>
      <c r="J331" s="9"/>
      <c r="N331" s="9"/>
      <c r="O331" s="19"/>
      <c r="P331" s="19"/>
      <c r="R331" s="19"/>
      <c r="S331" s="9"/>
    </row>
    <row r="332" spans="4:19" s="18" customFormat="1" x14ac:dyDescent="0.2">
      <c r="D332" s="9"/>
      <c r="G332" s="9"/>
      <c r="J332" s="9"/>
      <c r="N332" s="9"/>
      <c r="O332" s="19"/>
      <c r="P332" s="19"/>
      <c r="R332" s="19"/>
      <c r="S332" s="9"/>
    </row>
    <row r="333" spans="4:19" s="18" customFormat="1" x14ac:dyDescent="0.2">
      <c r="D333" s="9"/>
      <c r="G333" s="9"/>
      <c r="J333" s="9"/>
      <c r="N333" s="9"/>
      <c r="O333" s="19"/>
      <c r="P333" s="19"/>
      <c r="R333" s="19"/>
      <c r="S333" s="9"/>
    </row>
    <row r="334" spans="4:19" s="18" customFormat="1" x14ac:dyDescent="0.2">
      <c r="D334" s="9"/>
      <c r="G334" s="9"/>
      <c r="J334" s="9"/>
      <c r="N334" s="9"/>
      <c r="O334" s="19"/>
      <c r="P334" s="19"/>
      <c r="R334" s="19"/>
      <c r="S334" s="9"/>
    </row>
    <row r="335" spans="4:19" s="18" customFormat="1" x14ac:dyDescent="0.2">
      <c r="D335" s="9"/>
      <c r="G335" s="9"/>
      <c r="J335" s="9"/>
      <c r="N335" s="9"/>
      <c r="O335" s="19"/>
      <c r="P335" s="19"/>
      <c r="R335" s="19"/>
      <c r="S335" s="9"/>
    </row>
    <row r="336" spans="4:19" s="18" customFormat="1" x14ac:dyDescent="0.2">
      <c r="D336" s="9"/>
      <c r="G336" s="9"/>
      <c r="J336" s="9"/>
      <c r="N336" s="9"/>
      <c r="O336" s="19"/>
      <c r="P336" s="19"/>
      <c r="R336" s="19"/>
      <c r="S336" s="9"/>
    </row>
    <row r="337" spans="4:19" s="18" customFormat="1" x14ac:dyDescent="0.2">
      <c r="D337" s="9"/>
      <c r="G337" s="9"/>
      <c r="J337" s="9"/>
      <c r="N337" s="9"/>
      <c r="O337" s="19"/>
      <c r="P337" s="19"/>
      <c r="R337" s="19"/>
      <c r="S337" s="9"/>
    </row>
    <row r="338" spans="4:19" s="18" customFormat="1" x14ac:dyDescent="0.2">
      <c r="D338" s="9"/>
      <c r="G338" s="9"/>
      <c r="J338" s="9"/>
      <c r="N338" s="9"/>
      <c r="O338" s="19"/>
      <c r="P338" s="19"/>
      <c r="R338" s="19"/>
      <c r="S338" s="9"/>
    </row>
    <row r="339" spans="4:19" s="18" customFormat="1" x14ac:dyDescent="0.2">
      <c r="D339" s="9"/>
      <c r="G339" s="9"/>
      <c r="J339" s="9"/>
      <c r="N339" s="9"/>
      <c r="O339" s="19"/>
      <c r="P339" s="19"/>
      <c r="R339" s="19"/>
      <c r="S339" s="9"/>
    </row>
    <row r="340" spans="4:19" s="18" customFormat="1" x14ac:dyDescent="0.2">
      <c r="D340" s="9"/>
      <c r="G340" s="9"/>
      <c r="J340" s="9"/>
      <c r="N340" s="9"/>
      <c r="O340" s="19"/>
      <c r="P340" s="19"/>
      <c r="R340" s="19"/>
      <c r="S340" s="9"/>
    </row>
    <row r="341" spans="4:19" s="18" customFormat="1" x14ac:dyDescent="0.2">
      <c r="D341" s="9"/>
      <c r="G341" s="9"/>
      <c r="J341" s="9"/>
      <c r="N341" s="9"/>
      <c r="O341" s="19"/>
      <c r="P341" s="19"/>
      <c r="R341" s="19"/>
      <c r="S341" s="9"/>
    </row>
    <row r="342" spans="4:19" s="18" customFormat="1" x14ac:dyDescent="0.2">
      <c r="D342" s="9"/>
      <c r="G342" s="9"/>
      <c r="J342" s="9"/>
      <c r="N342" s="9"/>
      <c r="O342" s="19"/>
      <c r="P342" s="19"/>
      <c r="R342" s="19"/>
      <c r="S342" s="9"/>
    </row>
    <row r="343" spans="4:19" s="18" customFormat="1" x14ac:dyDescent="0.2">
      <c r="D343" s="9"/>
      <c r="G343" s="9"/>
      <c r="J343" s="9"/>
      <c r="N343" s="9"/>
      <c r="O343" s="19"/>
      <c r="P343" s="19"/>
      <c r="R343" s="19"/>
      <c r="S343" s="9"/>
    </row>
    <row r="344" spans="4:19" s="18" customFormat="1" x14ac:dyDescent="0.2">
      <c r="D344" s="9"/>
      <c r="G344" s="9"/>
      <c r="J344" s="9"/>
      <c r="N344" s="9"/>
      <c r="O344" s="19"/>
      <c r="P344" s="19"/>
      <c r="R344" s="19"/>
      <c r="S344" s="9"/>
    </row>
    <row r="345" spans="4:19" s="18" customFormat="1" x14ac:dyDescent="0.2">
      <c r="D345" s="9"/>
      <c r="G345" s="9"/>
      <c r="J345" s="9"/>
      <c r="N345" s="9"/>
      <c r="O345" s="19"/>
      <c r="P345" s="19"/>
      <c r="R345" s="19"/>
      <c r="S345" s="9"/>
    </row>
    <row r="346" spans="4:19" s="18" customFormat="1" x14ac:dyDescent="0.2">
      <c r="D346" s="9"/>
      <c r="G346" s="9"/>
      <c r="J346" s="9"/>
      <c r="N346" s="9"/>
      <c r="O346" s="19"/>
      <c r="P346" s="19"/>
      <c r="R346" s="19"/>
      <c r="S346" s="9"/>
    </row>
    <row r="347" spans="4:19" s="18" customFormat="1" x14ac:dyDescent="0.2">
      <c r="D347" s="9"/>
      <c r="G347" s="9"/>
      <c r="J347" s="9"/>
      <c r="N347" s="9"/>
      <c r="O347" s="19"/>
      <c r="P347" s="19"/>
      <c r="R347" s="19"/>
      <c r="S347" s="9"/>
    </row>
    <row r="348" spans="4:19" s="18" customFormat="1" x14ac:dyDescent="0.2">
      <c r="D348" s="9"/>
      <c r="G348" s="9"/>
      <c r="J348" s="9"/>
      <c r="N348" s="9"/>
      <c r="O348" s="19"/>
      <c r="P348" s="19"/>
      <c r="R348" s="19"/>
      <c r="S348" s="9"/>
    </row>
    <row r="349" spans="4:19" s="18" customFormat="1" x14ac:dyDescent="0.2">
      <c r="D349" s="9"/>
      <c r="G349" s="9"/>
      <c r="J349" s="9"/>
      <c r="N349" s="9"/>
      <c r="O349" s="19"/>
      <c r="P349" s="19"/>
      <c r="R349" s="19"/>
      <c r="S349" s="9"/>
    </row>
    <row r="350" spans="4:19" s="18" customFormat="1" x14ac:dyDescent="0.2">
      <c r="D350" s="9"/>
      <c r="G350" s="9"/>
      <c r="J350" s="9"/>
      <c r="N350" s="9"/>
      <c r="O350" s="19"/>
      <c r="P350" s="19"/>
      <c r="R350" s="19"/>
      <c r="S350" s="9"/>
    </row>
    <row r="351" spans="4:19" s="18" customFormat="1" x14ac:dyDescent="0.2">
      <c r="D351" s="9"/>
      <c r="G351" s="9"/>
      <c r="J351" s="9"/>
      <c r="N351" s="9"/>
      <c r="O351" s="19"/>
      <c r="P351" s="19"/>
      <c r="R351" s="19"/>
      <c r="S351" s="9"/>
    </row>
    <row r="352" spans="4:19" s="18" customFormat="1" x14ac:dyDescent="0.2">
      <c r="D352" s="9"/>
      <c r="G352" s="9"/>
      <c r="J352" s="9"/>
      <c r="N352" s="9"/>
      <c r="O352" s="19"/>
      <c r="P352" s="19"/>
      <c r="R352" s="19"/>
      <c r="S352" s="9"/>
    </row>
    <row r="353" spans="4:19" s="18" customFormat="1" x14ac:dyDescent="0.2">
      <c r="D353" s="9"/>
      <c r="G353" s="9"/>
      <c r="J353" s="9"/>
      <c r="N353" s="9"/>
      <c r="O353" s="19"/>
      <c r="P353" s="19"/>
      <c r="R353" s="19"/>
      <c r="S353" s="9"/>
    </row>
    <row r="354" spans="4:19" s="18" customFormat="1" x14ac:dyDescent="0.2">
      <c r="D354" s="9"/>
      <c r="G354" s="9"/>
      <c r="J354" s="9"/>
      <c r="N354" s="9"/>
      <c r="O354" s="19"/>
      <c r="P354" s="19"/>
      <c r="R354" s="19"/>
      <c r="S354" s="9"/>
    </row>
    <row r="355" spans="4:19" s="18" customFormat="1" x14ac:dyDescent="0.2">
      <c r="D355" s="9"/>
      <c r="G355" s="9"/>
      <c r="J355" s="9"/>
      <c r="N355" s="9"/>
      <c r="O355" s="19"/>
      <c r="P355" s="19"/>
      <c r="R355" s="19"/>
      <c r="S355" s="9"/>
    </row>
    <row r="356" spans="4:19" s="18" customFormat="1" x14ac:dyDescent="0.2">
      <c r="D356" s="9"/>
      <c r="G356" s="9"/>
      <c r="J356" s="9"/>
      <c r="N356" s="9"/>
      <c r="O356" s="19"/>
      <c r="P356" s="19"/>
      <c r="R356" s="19"/>
      <c r="S356" s="9"/>
    </row>
    <row r="357" spans="4:19" s="18" customFormat="1" x14ac:dyDescent="0.2">
      <c r="D357" s="9"/>
      <c r="G357" s="9"/>
      <c r="J357" s="9"/>
      <c r="N357" s="9"/>
      <c r="O357" s="19"/>
      <c r="P357" s="19"/>
      <c r="R357" s="19"/>
      <c r="S357" s="9"/>
    </row>
    <row r="358" spans="4:19" s="18" customFormat="1" x14ac:dyDescent="0.2">
      <c r="D358" s="9"/>
      <c r="G358" s="9"/>
      <c r="J358" s="9"/>
      <c r="N358" s="9"/>
      <c r="O358" s="19"/>
      <c r="P358" s="19"/>
      <c r="R358" s="19"/>
      <c r="S358" s="9"/>
    </row>
    <row r="359" spans="4:19" s="18" customFormat="1" x14ac:dyDescent="0.2">
      <c r="D359" s="9"/>
      <c r="G359" s="9"/>
      <c r="J359" s="9"/>
      <c r="N359" s="9"/>
      <c r="O359" s="19"/>
      <c r="P359" s="19"/>
      <c r="R359" s="19"/>
      <c r="S359" s="9"/>
    </row>
    <row r="360" spans="4:19" s="18" customFormat="1" x14ac:dyDescent="0.2">
      <c r="D360" s="9"/>
      <c r="G360" s="9"/>
      <c r="J360" s="9"/>
      <c r="N360" s="9"/>
      <c r="O360" s="19"/>
      <c r="P360" s="19"/>
      <c r="R360" s="19"/>
      <c r="S360" s="9"/>
    </row>
    <row r="361" spans="4:19" s="18" customFormat="1" x14ac:dyDescent="0.2">
      <c r="D361" s="9"/>
      <c r="G361" s="9"/>
      <c r="J361" s="9"/>
      <c r="N361" s="9"/>
      <c r="O361" s="19"/>
      <c r="P361" s="19"/>
      <c r="R361" s="19"/>
      <c r="S361" s="9"/>
    </row>
    <row r="362" spans="4:19" s="18" customFormat="1" x14ac:dyDescent="0.2">
      <c r="D362" s="9"/>
      <c r="G362" s="9"/>
      <c r="J362" s="9"/>
      <c r="N362" s="9"/>
      <c r="O362" s="19"/>
      <c r="P362" s="19"/>
      <c r="R362" s="19"/>
      <c r="S362" s="9"/>
    </row>
    <row r="363" spans="4:19" s="18" customFormat="1" x14ac:dyDescent="0.2">
      <c r="D363" s="9"/>
      <c r="G363" s="9"/>
      <c r="J363" s="9"/>
      <c r="N363" s="9"/>
      <c r="O363" s="19"/>
      <c r="P363" s="19"/>
      <c r="R363" s="19"/>
      <c r="S363" s="9"/>
    </row>
    <row r="364" spans="4:19" s="18" customFormat="1" x14ac:dyDescent="0.2">
      <c r="D364" s="9"/>
      <c r="G364" s="9"/>
      <c r="J364" s="9"/>
      <c r="N364" s="9"/>
      <c r="O364" s="19"/>
      <c r="P364" s="19"/>
      <c r="R364" s="19"/>
      <c r="S364" s="9"/>
    </row>
    <row r="365" spans="4:19" s="18" customFormat="1" x14ac:dyDescent="0.2">
      <c r="D365" s="9"/>
      <c r="G365" s="9"/>
      <c r="J365" s="9"/>
      <c r="N365" s="9"/>
      <c r="O365" s="19"/>
      <c r="P365" s="19"/>
      <c r="R365" s="19"/>
      <c r="S365" s="9"/>
    </row>
    <row r="366" spans="4:19" s="18" customFormat="1" x14ac:dyDescent="0.2">
      <c r="D366" s="9"/>
      <c r="G366" s="9"/>
      <c r="J366" s="9"/>
      <c r="N366" s="9"/>
      <c r="O366" s="19"/>
      <c r="P366" s="19"/>
      <c r="R366" s="19"/>
      <c r="S366" s="9"/>
    </row>
    <row r="367" spans="4:19" s="18" customFormat="1" x14ac:dyDescent="0.2">
      <c r="D367" s="9"/>
      <c r="G367" s="9"/>
      <c r="J367" s="9"/>
      <c r="N367" s="9"/>
      <c r="O367" s="19"/>
      <c r="P367" s="19"/>
      <c r="R367" s="19"/>
      <c r="S367" s="9"/>
    </row>
    <row r="368" spans="4:19" s="18" customFormat="1" x14ac:dyDescent="0.2">
      <c r="D368" s="9"/>
      <c r="G368" s="9"/>
      <c r="J368" s="9"/>
      <c r="N368" s="9"/>
      <c r="O368" s="19"/>
      <c r="P368" s="19"/>
      <c r="R368" s="19"/>
      <c r="S368" s="9"/>
    </row>
    <row r="369" spans="4:19" s="18" customFormat="1" x14ac:dyDescent="0.2">
      <c r="D369" s="9"/>
      <c r="G369" s="9"/>
      <c r="J369" s="9"/>
      <c r="N369" s="9"/>
      <c r="O369" s="19"/>
      <c r="P369" s="19"/>
      <c r="R369" s="19"/>
      <c r="S369" s="9"/>
    </row>
    <row r="370" spans="4:19" s="18" customFormat="1" x14ac:dyDescent="0.2">
      <c r="D370" s="9"/>
      <c r="G370" s="9"/>
      <c r="J370" s="9"/>
      <c r="N370" s="9"/>
      <c r="O370" s="19"/>
      <c r="P370" s="19"/>
      <c r="R370" s="19"/>
      <c r="S370" s="9"/>
    </row>
    <row r="371" spans="4:19" s="18" customFormat="1" x14ac:dyDescent="0.2">
      <c r="D371" s="9"/>
      <c r="G371" s="9"/>
      <c r="J371" s="9"/>
      <c r="N371" s="9"/>
      <c r="O371" s="19"/>
      <c r="P371" s="19"/>
      <c r="R371" s="19"/>
      <c r="S371" s="9"/>
    </row>
    <row r="372" spans="4:19" s="18" customFormat="1" x14ac:dyDescent="0.2">
      <c r="D372" s="9"/>
      <c r="G372" s="9"/>
      <c r="J372" s="9"/>
      <c r="N372" s="9"/>
      <c r="O372" s="19"/>
      <c r="P372" s="19"/>
      <c r="R372" s="19"/>
      <c r="S372" s="9"/>
    </row>
    <row r="373" spans="4:19" s="18" customFormat="1" x14ac:dyDescent="0.2">
      <c r="D373" s="9"/>
      <c r="G373" s="9"/>
      <c r="J373" s="9"/>
      <c r="N373" s="9"/>
      <c r="O373" s="19"/>
      <c r="P373" s="19"/>
      <c r="R373" s="19"/>
      <c r="S373" s="9"/>
    </row>
    <row r="374" spans="4:19" s="18" customFormat="1" x14ac:dyDescent="0.2">
      <c r="D374" s="9"/>
      <c r="G374" s="9"/>
      <c r="J374" s="9"/>
      <c r="N374" s="9"/>
      <c r="O374" s="19"/>
      <c r="P374" s="19"/>
      <c r="R374" s="19"/>
      <c r="S374" s="9"/>
    </row>
    <row r="375" spans="4:19" s="18" customFormat="1" x14ac:dyDescent="0.2">
      <c r="D375" s="9"/>
      <c r="G375" s="9"/>
      <c r="J375" s="9"/>
      <c r="N375" s="9"/>
      <c r="O375" s="19"/>
      <c r="P375" s="19"/>
      <c r="R375" s="19"/>
      <c r="S375" s="9"/>
    </row>
    <row r="376" spans="4:19" s="18" customFormat="1" x14ac:dyDescent="0.2">
      <c r="D376" s="9"/>
      <c r="G376" s="9"/>
      <c r="J376" s="9"/>
      <c r="N376" s="9"/>
      <c r="O376" s="19"/>
      <c r="P376" s="19"/>
      <c r="R376" s="19"/>
      <c r="S376" s="9"/>
    </row>
    <row r="377" spans="4:19" s="18" customFormat="1" x14ac:dyDescent="0.2">
      <c r="D377" s="9"/>
      <c r="G377" s="9"/>
      <c r="J377" s="9"/>
      <c r="N377" s="9"/>
      <c r="O377" s="19"/>
      <c r="P377" s="19"/>
      <c r="R377" s="19"/>
      <c r="S377" s="9"/>
    </row>
    <row r="378" spans="4:19" s="18" customFormat="1" x14ac:dyDescent="0.2">
      <c r="D378" s="9"/>
      <c r="G378" s="9"/>
      <c r="J378" s="9"/>
      <c r="N378" s="9"/>
      <c r="O378" s="19"/>
      <c r="P378" s="19"/>
      <c r="R378" s="19"/>
      <c r="S378" s="9"/>
    </row>
    <row r="379" spans="4:19" s="18" customFormat="1" x14ac:dyDescent="0.2">
      <c r="D379" s="9"/>
      <c r="G379" s="9"/>
      <c r="J379" s="9"/>
      <c r="N379" s="9"/>
      <c r="O379" s="19"/>
      <c r="P379" s="19"/>
      <c r="R379" s="19"/>
      <c r="S379" s="9"/>
    </row>
    <row r="380" spans="4:19" s="18" customFormat="1" x14ac:dyDescent="0.2">
      <c r="D380" s="9"/>
      <c r="G380" s="9"/>
      <c r="J380" s="9"/>
      <c r="N380" s="9"/>
      <c r="O380" s="19"/>
      <c r="P380" s="19"/>
      <c r="R380" s="19"/>
      <c r="S380" s="9"/>
    </row>
    <row r="381" spans="4:19" s="18" customFormat="1" x14ac:dyDescent="0.2">
      <c r="D381" s="9"/>
      <c r="G381" s="9"/>
      <c r="J381" s="9"/>
      <c r="N381" s="9"/>
      <c r="O381" s="19"/>
      <c r="P381" s="19"/>
      <c r="R381" s="19"/>
      <c r="S381" s="9"/>
    </row>
    <row r="382" spans="4:19" s="18" customFormat="1" x14ac:dyDescent="0.2">
      <c r="D382" s="9"/>
      <c r="G382" s="9"/>
      <c r="J382" s="9"/>
      <c r="N382" s="9"/>
      <c r="O382" s="19"/>
      <c r="P382" s="19"/>
      <c r="R382" s="19"/>
      <c r="S382" s="9"/>
    </row>
    <row r="383" spans="4:19" s="18" customFormat="1" x14ac:dyDescent="0.2">
      <c r="D383" s="9"/>
      <c r="G383" s="9"/>
      <c r="J383" s="9"/>
      <c r="N383" s="9"/>
      <c r="O383" s="19"/>
      <c r="P383" s="19"/>
      <c r="R383" s="19"/>
      <c r="S383" s="9"/>
    </row>
    <row r="384" spans="4:19" s="18" customFormat="1" x14ac:dyDescent="0.2">
      <c r="D384" s="9"/>
      <c r="G384" s="9"/>
      <c r="J384" s="9"/>
      <c r="N384" s="9"/>
      <c r="O384" s="19"/>
      <c r="P384" s="19"/>
      <c r="R384" s="19"/>
      <c r="S384" s="9"/>
    </row>
    <row r="385" spans="4:19" s="18" customFormat="1" x14ac:dyDescent="0.2">
      <c r="D385" s="9"/>
      <c r="G385" s="9"/>
      <c r="J385" s="9"/>
      <c r="N385" s="9"/>
      <c r="O385" s="19"/>
      <c r="P385" s="19"/>
      <c r="R385" s="19"/>
      <c r="S385" s="9"/>
    </row>
    <row r="386" spans="4:19" s="18" customFormat="1" x14ac:dyDescent="0.2">
      <c r="D386" s="9"/>
      <c r="G386" s="9"/>
      <c r="J386" s="9"/>
      <c r="N386" s="9"/>
      <c r="O386" s="19"/>
      <c r="P386" s="19"/>
      <c r="R386" s="19"/>
      <c r="S386" s="9"/>
    </row>
    <row r="387" spans="4:19" s="18" customFormat="1" x14ac:dyDescent="0.2">
      <c r="D387" s="9"/>
      <c r="G387" s="9"/>
      <c r="J387" s="9"/>
      <c r="N387" s="9"/>
      <c r="O387" s="19"/>
      <c r="P387" s="19"/>
      <c r="R387" s="19"/>
      <c r="S387" s="9"/>
    </row>
    <row r="388" spans="4:19" s="18" customFormat="1" x14ac:dyDescent="0.2">
      <c r="D388" s="9"/>
      <c r="G388" s="9"/>
      <c r="J388" s="9"/>
      <c r="N388" s="9"/>
      <c r="O388" s="19"/>
      <c r="P388" s="19"/>
      <c r="R388" s="19"/>
      <c r="S388" s="9"/>
    </row>
    <row r="389" spans="4:19" s="18" customFormat="1" x14ac:dyDescent="0.2">
      <c r="D389" s="9"/>
      <c r="G389" s="9"/>
      <c r="J389" s="9"/>
      <c r="N389" s="9"/>
      <c r="O389" s="19"/>
      <c r="P389" s="19"/>
      <c r="R389" s="19"/>
      <c r="S389" s="9"/>
    </row>
    <row r="390" spans="4:19" s="18" customFormat="1" x14ac:dyDescent="0.2">
      <c r="D390" s="9"/>
      <c r="G390" s="9"/>
      <c r="J390" s="9"/>
      <c r="N390" s="9"/>
      <c r="O390" s="19"/>
      <c r="P390" s="19"/>
      <c r="R390" s="19"/>
      <c r="S390" s="9"/>
    </row>
    <row r="391" spans="4:19" s="18" customFormat="1" x14ac:dyDescent="0.2">
      <c r="D391" s="9"/>
      <c r="G391" s="9"/>
      <c r="J391" s="9"/>
      <c r="N391" s="9"/>
      <c r="O391" s="19"/>
      <c r="P391" s="19"/>
      <c r="R391" s="19"/>
      <c r="S391" s="9"/>
    </row>
    <row r="392" spans="4:19" s="18" customFormat="1" x14ac:dyDescent="0.2">
      <c r="D392" s="9"/>
      <c r="G392" s="9"/>
      <c r="J392" s="9"/>
      <c r="N392" s="9"/>
      <c r="O392" s="19"/>
      <c r="P392" s="19"/>
      <c r="R392" s="19"/>
      <c r="S392" s="9"/>
    </row>
    <row r="393" spans="4:19" s="18" customFormat="1" x14ac:dyDescent="0.2">
      <c r="D393" s="9"/>
      <c r="G393" s="9"/>
      <c r="J393" s="9"/>
      <c r="N393" s="9"/>
      <c r="O393" s="19"/>
      <c r="P393" s="19"/>
      <c r="R393" s="19"/>
      <c r="S393" s="9"/>
    </row>
    <row r="394" spans="4:19" s="18" customFormat="1" x14ac:dyDescent="0.2">
      <c r="D394" s="9"/>
      <c r="G394" s="9"/>
      <c r="J394" s="9"/>
      <c r="N394" s="9"/>
      <c r="O394" s="19"/>
      <c r="P394" s="19"/>
      <c r="R394" s="19"/>
      <c r="S394" s="9"/>
    </row>
    <row r="395" spans="4:19" s="18" customFormat="1" x14ac:dyDescent="0.2">
      <c r="D395" s="9"/>
      <c r="G395" s="9"/>
      <c r="J395" s="9"/>
      <c r="N395" s="9"/>
      <c r="O395" s="19"/>
      <c r="P395" s="19"/>
      <c r="R395" s="19"/>
      <c r="S395" s="9"/>
    </row>
    <row r="396" spans="4:19" s="18" customFormat="1" x14ac:dyDescent="0.2">
      <c r="D396" s="9"/>
      <c r="G396" s="9"/>
      <c r="J396" s="9"/>
      <c r="N396" s="9"/>
      <c r="O396" s="19"/>
      <c r="P396" s="19"/>
      <c r="R396" s="19"/>
      <c r="S396" s="9"/>
    </row>
    <row r="397" spans="4:19" s="18" customFormat="1" x14ac:dyDescent="0.2">
      <c r="D397" s="9"/>
      <c r="G397" s="9"/>
      <c r="J397" s="9"/>
      <c r="N397" s="9"/>
      <c r="O397" s="19"/>
      <c r="P397" s="19"/>
      <c r="R397" s="19"/>
      <c r="S397" s="9"/>
    </row>
    <row r="398" spans="4:19" s="18" customFormat="1" x14ac:dyDescent="0.2">
      <c r="D398" s="9"/>
      <c r="G398" s="9"/>
      <c r="J398" s="9"/>
      <c r="N398" s="9"/>
      <c r="O398" s="19"/>
      <c r="P398" s="19"/>
      <c r="R398" s="19"/>
      <c r="S398" s="9"/>
    </row>
    <row r="399" spans="4:19" s="18" customFormat="1" x14ac:dyDescent="0.2">
      <c r="D399" s="9"/>
      <c r="G399" s="9"/>
      <c r="J399" s="9"/>
      <c r="N399" s="9"/>
      <c r="O399" s="19"/>
      <c r="P399" s="19"/>
      <c r="R399" s="19"/>
      <c r="S399" s="9"/>
    </row>
    <row r="400" spans="4:19" s="18" customFormat="1" x14ac:dyDescent="0.2">
      <c r="D400" s="9"/>
      <c r="G400" s="9"/>
      <c r="J400" s="9"/>
      <c r="N400" s="9"/>
      <c r="O400" s="19"/>
      <c r="P400" s="19"/>
      <c r="R400" s="19"/>
      <c r="S400" s="9"/>
    </row>
    <row r="401" spans="4:19" s="18" customFormat="1" x14ac:dyDescent="0.2">
      <c r="D401" s="9"/>
      <c r="G401" s="9"/>
      <c r="J401" s="9"/>
      <c r="N401" s="9"/>
      <c r="O401" s="19"/>
      <c r="P401" s="19"/>
      <c r="R401" s="19"/>
      <c r="S401" s="9"/>
    </row>
    <row r="402" spans="4:19" s="18" customFormat="1" x14ac:dyDescent="0.2">
      <c r="D402" s="9"/>
      <c r="G402" s="9"/>
      <c r="J402" s="9"/>
      <c r="N402" s="9"/>
      <c r="O402" s="19"/>
      <c r="P402" s="19"/>
      <c r="R402" s="19"/>
      <c r="S402" s="9"/>
    </row>
    <row r="403" spans="4:19" s="18" customFormat="1" x14ac:dyDescent="0.2">
      <c r="D403" s="9"/>
      <c r="G403" s="9"/>
      <c r="J403" s="9"/>
      <c r="N403" s="9"/>
      <c r="O403" s="19"/>
      <c r="P403" s="19"/>
      <c r="R403" s="19"/>
      <c r="S403" s="9"/>
    </row>
    <row r="404" spans="4:19" s="18" customFormat="1" x14ac:dyDescent="0.2">
      <c r="D404" s="9"/>
      <c r="G404" s="9"/>
      <c r="J404" s="9"/>
      <c r="N404" s="9"/>
      <c r="O404" s="19"/>
      <c r="P404" s="19"/>
      <c r="R404" s="19"/>
      <c r="S404" s="9"/>
    </row>
    <row r="405" spans="4:19" s="18" customFormat="1" x14ac:dyDescent="0.2">
      <c r="D405" s="9"/>
      <c r="G405" s="9"/>
      <c r="J405" s="9"/>
      <c r="N405" s="9"/>
      <c r="O405" s="19"/>
      <c r="P405" s="19"/>
      <c r="R405" s="19"/>
      <c r="S405" s="9"/>
    </row>
    <row r="406" spans="4:19" s="18" customFormat="1" x14ac:dyDescent="0.2">
      <c r="D406" s="9"/>
      <c r="G406" s="9"/>
      <c r="J406" s="9"/>
      <c r="N406" s="9"/>
      <c r="O406" s="19"/>
      <c r="P406" s="19"/>
      <c r="R406" s="19"/>
      <c r="S406" s="9"/>
    </row>
    <row r="407" spans="4:19" s="18" customFormat="1" x14ac:dyDescent="0.2">
      <c r="D407" s="9"/>
      <c r="G407" s="9"/>
      <c r="J407" s="9"/>
      <c r="N407" s="9"/>
      <c r="O407" s="19"/>
      <c r="P407" s="19"/>
      <c r="R407" s="19"/>
      <c r="S407" s="9"/>
    </row>
    <row r="408" spans="4:19" s="18" customFormat="1" x14ac:dyDescent="0.2">
      <c r="D408" s="9"/>
      <c r="G408" s="9"/>
      <c r="J408" s="9"/>
      <c r="N408" s="9"/>
      <c r="O408" s="19"/>
      <c r="P408" s="19"/>
      <c r="R408" s="19"/>
      <c r="S408" s="9"/>
    </row>
    <row r="409" spans="4:19" s="18" customFormat="1" x14ac:dyDescent="0.2">
      <c r="D409" s="9"/>
      <c r="G409" s="9"/>
      <c r="J409" s="9"/>
      <c r="N409" s="9"/>
      <c r="O409" s="19"/>
      <c r="P409" s="19"/>
      <c r="R409" s="19"/>
      <c r="S409" s="9"/>
    </row>
    <row r="410" spans="4:19" s="18" customFormat="1" x14ac:dyDescent="0.2">
      <c r="D410" s="9"/>
      <c r="G410" s="9"/>
      <c r="J410" s="9"/>
      <c r="N410" s="9"/>
      <c r="O410" s="19"/>
      <c r="P410" s="19"/>
      <c r="R410" s="19"/>
      <c r="S410" s="9"/>
    </row>
    <row r="411" spans="4:19" s="18" customFormat="1" x14ac:dyDescent="0.2">
      <c r="D411" s="9"/>
      <c r="G411" s="9"/>
      <c r="J411" s="9"/>
      <c r="N411" s="9"/>
      <c r="O411" s="19"/>
      <c r="P411" s="19"/>
      <c r="R411" s="19"/>
      <c r="S411" s="9"/>
    </row>
    <row r="412" spans="4:19" s="18" customFormat="1" x14ac:dyDescent="0.2">
      <c r="D412" s="9"/>
      <c r="G412" s="9"/>
      <c r="J412" s="9"/>
      <c r="N412" s="9"/>
      <c r="O412" s="19"/>
      <c r="P412" s="19"/>
      <c r="R412" s="19"/>
      <c r="S412" s="9"/>
    </row>
    <row r="413" spans="4:19" s="18" customFormat="1" x14ac:dyDescent="0.2">
      <c r="D413" s="9"/>
      <c r="G413" s="9"/>
      <c r="J413" s="9"/>
      <c r="N413" s="9"/>
      <c r="O413" s="19"/>
      <c r="P413" s="19"/>
      <c r="R413" s="19"/>
      <c r="S413" s="9"/>
    </row>
    <row r="414" spans="4:19" s="18" customFormat="1" x14ac:dyDescent="0.2">
      <c r="D414" s="9"/>
      <c r="G414" s="9"/>
      <c r="J414" s="9"/>
      <c r="N414" s="9"/>
      <c r="O414" s="19"/>
      <c r="P414" s="19"/>
      <c r="R414" s="19"/>
      <c r="S414" s="9"/>
    </row>
    <row r="415" spans="4:19" s="18" customFormat="1" x14ac:dyDescent="0.2">
      <c r="D415" s="9"/>
      <c r="G415" s="9"/>
      <c r="J415" s="9"/>
      <c r="N415" s="9"/>
      <c r="O415" s="19"/>
      <c r="P415" s="19"/>
      <c r="R415" s="19"/>
      <c r="S415" s="9"/>
    </row>
    <row r="416" spans="4:19" s="18" customFormat="1" x14ac:dyDescent="0.2">
      <c r="D416" s="9"/>
      <c r="G416" s="9"/>
      <c r="J416" s="9"/>
      <c r="N416" s="9"/>
      <c r="O416" s="19"/>
      <c r="P416" s="19"/>
      <c r="R416" s="19"/>
      <c r="S416" s="9"/>
    </row>
    <row r="417" spans="4:19" s="18" customFormat="1" x14ac:dyDescent="0.2">
      <c r="D417" s="9"/>
      <c r="G417" s="9"/>
      <c r="J417" s="9"/>
      <c r="N417" s="9"/>
      <c r="O417" s="19"/>
      <c r="P417" s="19"/>
      <c r="R417" s="19"/>
      <c r="S417" s="9"/>
    </row>
    <row r="418" spans="4:19" s="18" customFormat="1" x14ac:dyDescent="0.2">
      <c r="D418" s="9"/>
      <c r="G418" s="9"/>
      <c r="J418" s="9"/>
      <c r="N418" s="9"/>
      <c r="O418" s="19"/>
      <c r="P418" s="19"/>
      <c r="R418" s="19"/>
      <c r="S418" s="9"/>
    </row>
    <row r="419" spans="4:19" s="18" customFormat="1" x14ac:dyDescent="0.2">
      <c r="D419" s="9"/>
      <c r="G419" s="9"/>
      <c r="J419" s="9"/>
      <c r="N419" s="9"/>
      <c r="O419" s="19"/>
      <c r="P419" s="19"/>
      <c r="R419" s="19"/>
      <c r="S419" s="9"/>
    </row>
    <row r="420" spans="4:19" s="18" customFormat="1" x14ac:dyDescent="0.2">
      <c r="D420" s="9"/>
      <c r="G420" s="9"/>
      <c r="J420" s="9"/>
      <c r="N420" s="9"/>
      <c r="O420" s="19"/>
      <c r="P420" s="19"/>
      <c r="R420" s="19"/>
      <c r="S420" s="9"/>
    </row>
    <row r="421" spans="4:19" s="18" customFormat="1" x14ac:dyDescent="0.2">
      <c r="D421" s="9"/>
      <c r="G421" s="9"/>
      <c r="J421" s="9"/>
      <c r="N421" s="9"/>
      <c r="O421" s="19"/>
      <c r="P421" s="19"/>
      <c r="R421" s="19"/>
      <c r="S421" s="9"/>
    </row>
    <row r="422" spans="4:19" s="18" customFormat="1" x14ac:dyDescent="0.2">
      <c r="D422" s="9"/>
      <c r="G422" s="9"/>
      <c r="J422" s="9"/>
      <c r="N422" s="9"/>
      <c r="O422" s="19"/>
      <c r="P422" s="19"/>
      <c r="R422" s="19"/>
      <c r="S422" s="9"/>
    </row>
    <row r="423" spans="4:19" s="18" customFormat="1" x14ac:dyDescent="0.2">
      <c r="D423" s="9"/>
      <c r="G423" s="9"/>
      <c r="J423" s="9"/>
      <c r="N423" s="9"/>
      <c r="O423" s="19"/>
      <c r="P423" s="19"/>
      <c r="R423" s="19"/>
      <c r="S423" s="9"/>
    </row>
    <row r="424" spans="4:19" s="18" customFormat="1" x14ac:dyDescent="0.2">
      <c r="D424" s="9"/>
      <c r="G424" s="9"/>
      <c r="J424" s="9"/>
      <c r="N424" s="9"/>
      <c r="O424" s="19"/>
      <c r="P424" s="19"/>
      <c r="R424" s="19"/>
      <c r="S424" s="9"/>
    </row>
    <row r="425" spans="4:19" s="18" customFormat="1" x14ac:dyDescent="0.2">
      <c r="D425" s="9"/>
      <c r="G425" s="9"/>
      <c r="J425" s="9"/>
      <c r="N425" s="9"/>
      <c r="O425" s="19"/>
      <c r="P425" s="19"/>
      <c r="R425" s="19"/>
      <c r="S425" s="9"/>
    </row>
    <row r="426" spans="4:19" s="18" customFormat="1" x14ac:dyDescent="0.2">
      <c r="D426" s="9"/>
      <c r="G426" s="9"/>
      <c r="J426" s="9"/>
      <c r="N426" s="9"/>
      <c r="O426" s="19"/>
      <c r="P426" s="19"/>
      <c r="R426" s="19"/>
      <c r="S426" s="9"/>
    </row>
    <row r="427" spans="4:19" s="18" customFormat="1" x14ac:dyDescent="0.2">
      <c r="D427" s="9"/>
      <c r="G427" s="9"/>
      <c r="J427" s="9"/>
      <c r="N427" s="9"/>
      <c r="O427" s="19"/>
      <c r="P427" s="19"/>
      <c r="R427" s="19"/>
      <c r="S427" s="9"/>
    </row>
    <row r="428" spans="4:19" s="18" customFormat="1" x14ac:dyDescent="0.2">
      <c r="D428" s="9"/>
      <c r="G428" s="9"/>
      <c r="J428" s="9"/>
      <c r="N428" s="9"/>
      <c r="O428" s="19"/>
      <c r="P428" s="19"/>
      <c r="R428" s="19"/>
      <c r="S428" s="9"/>
    </row>
    <row r="429" spans="4:19" s="18" customFormat="1" x14ac:dyDescent="0.2">
      <c r="D429" s="9"/>
      <c r="G429" s="9"/>
      <c r="J429" s="9"/>
      <c r="N429" s="9"/>
      <c r="O429" s="19"/>
      <c r="P429" s="19"/>
      <c r="R429" s="19"/>
      <c r="S429" s="9"/>
    </row>
    <row r="430" spans="4:19" s="18" customFormat="1" x14ac:dyDescent="0.2">
      <c r="D430" s="9"/>
      <c r="G430" s="9"/>
      <c r="J430" s="9"/>
      <c r="N430" s="9"/>
      <c r="O430" s="19"/>
      <c r="P430" s="19"/>
      <c r="R430" s="19"/>
      <c r="S430" s="9"/>
    </row>
    <row r="431" spans="4:19" s="18" customFormat="1" x14ac:dyDescent="0.2">
      <c r="D431" s="9"/>
      <c r="G431" s="9"/>
      <c r="J431" s="9"/>
      <c r="N431" s="9"/>
      <c r="O431" s="19"/>
      <c r="P431" s="19"/>
      <c r="R431" s="19"/>
      <c r="S431" s="9"/>
    </row>
    <row r="432" spans="4:19" s="18" customFormat="1" x14ac:dyDescent="0.2">
      <c r="D432" s="9"/>
      <c r="G432" s="9"/>
      <c r="J432" s="9"/>
      <c r="N432" s="9"/>
      <c r="O432" s="19"/>
      <c r="P432" s="19"/>
      <c r="R432" s="19"/>
      <c r="S432" s="9"/>
    </row>
    <row r="433" spans="4:19" s="18" customFormat="1" x14ac:dyDescent="0.2">
      <c r="D433" s="9"/>
      <c r="G433" s="9"/>
      <c r="J433" s="9"/>
      <c r="N433" s="9"/>
      <c r="O433" s="19"/>
      <c r="P433" s="19"/>
      <c r="R433" s="19"/>
      <c r="S433" s="9"/>
    </row>
    <row r="434" spans="4:19" s="18" customFormat="1" x14ac:dyDescent="0.2">
      <c r="D434" s="9"/>
      <c r="G434" s="9"/>
      <c r="J434" s="9"/>
      <c r="N434" s="9"/>
      <c r="O434" s="19"/>
      <c r="P434" s="19"/>
      <c r="R434" s="19"/>
      <c r="S434" s="9"/>
    </row>
    <row r="435" spans="4:19" s="18" customFormat="1" x14ac:dyDescent="0.2">
      <c r="D435" s="9"/>
      <c r="G435" s="9"/>
      <c r="J435" s="9"/>
      <c r="N435" s="9"/>
      <c r="O435" s="19"/>
      <c r="P435" s="19"/>
      <c r="R435" s="19"/>
      <c r="S435" s="9"/>
    </row>
    <row r="436" spans="4:19" s="18" customFormat="1" x14ac:dyDescent="0.2">
      <c r="D436" s="9"/>
      <c r="G436" s="9"/>
      <c r="J436" s="9"/>
      <c r="N436" s="9"/>
      <c r="O436" s="19"/>
      <c r="P436" s="19"/>
      <c r="R436" s="19"/>
      <c r="S436" s="9"/>
    </row>
    <row r="437" spans="4:19" s="18" customFormat="1" x14ac:dyDescent="0.2">
      <c r="D437" s="9"/>
      <c r="G437" s="9"/>
      <c r="J437" s="9"/>
      <c r="N437" s="9"/>
      <c r="O437" s="19"/>
      <c r="P437" s="19"/>
      <c r="R437" s="19"/>
      <c r="S437" s="9"/>
    </row>
    <row r="438" spans="4:19" s="18" customFormat="1" x14ac:dyDescent="0.2">
      <c r="D438" s="9"/>
      <c r="G438" s="9"/>
      <c r="J438" s="9"/>
      <c r="N438" s="9"/>
      <c r="O438" s="19"/>
      <c r="P438" s="19"/>
      <c r="R438" s="19"/>
      <c r="S438" s="9"/>
    </row>
    <row r="439" spans="4:19" s="18" customFormat="1" x14ac:dyDescent="0.2">
      <c r="D439" s="9"/>
      <c r="G439" s="9"/>
      <c r="J439" s="9"/>
      <c r="N439" s="9"/>
      <c r="O439" s="19"/>
      <c r="P439" s="19"/>
      <c r="R439" s="19"/>
      <c r="S439" s="9"/>
    </row>
    <row r="440" spans="4:19" s="18" customFormat="1" x14ac:dyDescent="0.2">
      <c r="D440" s="9"/>
      <c r="G440" s="9"/>
      <c r="J440" s="9"/>
      <c r="N440" s="9"/>
      <c r="O440" s="19"/>
      <c r="P440" s="19"/>
      <c r="R440" s="19"/>
      <c r="S440" s="9"/>
    </row>
    <row r="441" spans="4:19" s="18" customFormat="1" x14ac:dyDescent="0.2">
      <c r="D441" s="9"/>
      <c r="G441" s="9"/>
      <c r="J441" s="9"/>
      <c r="N441" s="9"/>
      <c r="O441" s="19"/>
      <c r="P441" s="19"/>
      <c r="R441" s="19"/>
      <c r="S441" s="9"/>
    </row>
    <row r="442" spans="4:19" s="18" customFormat="1" x14ac:dyDescent="0.2">
      <c r="D442" s="9"/>
      <c r="G442" s="9"/>
      <c r="J442" s="9"/>
      <c r="N442" s="9"/>
      <c r="O442" s="19"/>
      <c r="P442" s="19"/>
      <c r="R442" s="19"/>
      <c r="S442" s="9"/>
    </row>
    <row r="443" spans="4:19" s="18" customFormat="1" x14ac:dyDescent="0.2">
      <c r="D443" s="9"/>
      <c r="G443" s="9"/>
      <c r="J443" s="9"/>
      <c r="N443" s="9"/>
      <c r="O443" s="19"/>
      <c r="P443" s="19"/>
      <c r="R443" s="19"/>
      <c r="S443" s="9"/>
    </row>
    <row r="444" spans="4:19" s="18" customFormat="1" x14ac:dyDescent="0.2">
      <c r="D444" s="9"/>
      <c r="G444" s="9"/>
      <c r="J444" s="9"/>
      <c r="N444" s="9"/>
      <c r="O444" s="19"/>
      <c r="P444" s="19"/>
      <c r="R444" s="19"/>
      <c r="S444" s="9"/>
    </row>
    <row r="445" spans="4:19" s="18" customFormat="1" x14ac:dyDescent="0.2">
      <c r="D445" s="9"/>
      <c r="G445" s="9"/>
      <c r="J445" s="9"/>
      <c r="N445" s="9"/>
      <c r="O445" s="19"/>
      <c r="P445" s="19"/>
      <c r="R445" s="19"/>
      <c r="S445" s="9"/>
    </row>
    <row r="446" spans="4:19" s="18" customFormat="1" x14ac:dyDescent="0.2">
      <c r="D446" s="9"/>
      <c r="G446" s="9"/>
      <c r="J446" s="9"/>
      <c r="N446" s="9"/>
      <c r="O446" s="19"/>
      <c r="P446" s="19"/>
      <c r="R446" s="19"/>
      <c r="S446" s="9"/>
    </row>
    <row r="447" spans="4:19" s="18" customFormat="1" x14ac:dyDescent="0.2">
      <c r="D447" s="9"/>
      <c r="G447" s="9"/>
      <c r="J447" s="9"/>
      <c r="N447" s="9"/>
      <c r="O447" s="19"/>
      <c r="P447" s="19"/>
      <c r="R447" s="19"/>
      <c r="S447" s="9"/>
    </row>
    <row r="448" spans="4:19" s="18" customFormat="1" x14ac:dyDescent="0.2">
      <c r="D448" s="9"/>
      <c r="G448" s="9"/>
      <c r="J448" s="9"/>
      <c r="N448" s="9"/>
      <c r="O448" s="19"/>
      <c r="P448" s="19"/>
      <c r="R448" s="19"/>
      <c r="S448" s="9"/>
    </row>
    <row r="449" spans="4:19" s="18" customFormat="1" x14ac:dyDescent="0.2">
      <c r="D449" s="9"/>
      <c r="G449" s="9"/>
      <c r="J449" s="9"/>
      <c r="N449" s="9"/>
      <c r="O449" s="19"/>
      <c r="P449" s="19"/>
      <c r="R449" s="19"/>
      <c r="S449" s="9"/>
    </row>
    <row r="450" spans="4:19" s="18" customFormat="1" x14ac:dyDescent="0.2">
      <c r="D450" s="9"/>
      <c r="G450" s="9"/>
      <c r="J450" s="9"/>
      <c r="N450" s="9"/>
      <c r="O450" s="19"/>
      <c r="P450" s="19"/>
      <c r="R450" s="19"/>
      <c r="S450" s="9"/>
    </row>
    <row r="451" spans="4:19" s="18" customFormat="1" x14ac:dyDescent="0.2">
      <c r="D451" s="9"/>
      <c r="G451" s="9"/>
      <c r="J451" s="9"/>
      <c r="N451" s="9"/>
      <c r="O451" s="19"/>
      <c r="P451" s="19"/>
      <c r="R451" s="19"/>
      <c r="S451" s="9"/>
    </row>
    <row r="452" spans="4:19" s="18" customFormat="1" x14ac:dyDescent="0.2">
      <c r="D452" s="9"/>
      <c r="G452" s="9"/>
      <c r="J452" s="9"/>
      <c r="N452" s="9"/>
      <c r="O452" s="19"/>
      <c r="P452" s="19"/>
      <c r="R452" s="19"/>
      <c r="S452" s="9"/>
    </row>
    <row r="453" spans="4:19" s="18" customFormat="1" x14ac:dyDescent="0.2">
      <c r="D453" s="9"/>
      <c r="G453" s="9"/>
      <c r="J453" s="9"/>
      <c r="N453" s="9"/>
      <c r="O453" s="19"/>
      <c r="P453" s="19"/>
      <c r="R453" s="19"/>
      <c r="S453" s="9"/>
    </row>
    <row r="454" spans="4:19" s="18" customFormat="1" x14ac:dyDescent="0.2">
      <c r="D454" s="9"/>
      <c r="G454" s="9"/>
      <c r="J454" s="9"/>
      <c r="N454" s="9"/>
      <c r="O454" s="19"/>
      <c r="P454" s="19"/>
      <c r="R454" s="19"/>
      <c r="S454" s="9"/>
    </row>
    <row r="455" spans="4:19" s="18" customFormat="1" x14ac:dyDescent="0.2">
      <c r="D455" s="9"/>
      <c r="G455" s="9"/>
      <c r="J455" s="9"/>
      <c r="N455" s="9"/>
      <c r="O455" s="19"/>
      <c r="P455" s="19"/>
      <c r="R455" s="19"/>
      <c r="S455" s="9"/>
    </row>
    <row r="456" spans="4:19" s="18" customFormat="1" x14ac:dyDescent="0.2">
      <c r="D456" s="9"/>
      <c r="G456" s="9"/>
      <c r="J456" s="9"/>
      <c r="N456" s="9"/>
      <c r="O456" s="19"/>
      <c r="P456" s="19"/>
      <c r="R456" s="19"/>
      <c r="S456" s="9"/>
    </row>
    <row r="457" spans="4:19" s="18" customFormat="1" x14ac:dyDescent="0.2">
      <c r="D457" s="9"/>
      <c r="G457" s="9"/>
      <c r="J457" s="9"/>
      <c r="N457" s="9"/>
      <c r="O457" s="19"/>
      <c r="P457" s="19"/>
      <c r="R457" s="19"/>
      <c r="S457" s="9"/>
    </row>
    <row r="458" spans="4:19" s="18" customFormat="1" x14ac:dyDescent="0.2">
      <c r="D458" s="9"/>
      <c r="G458" s="9"/>
      <c r="J458" s="9"/>
      <c r="N458" s="9"/>
      <c r="O458" s="19"/>
      <c r="P458" s="19"/>
      <c r="R458" s="19"/>
      <c r="S458" s="9"/>
    </row>
    <row r="459" spans="4:19" s="18" customFormat="1" x14ac:dyDescent="0.2">
      <c r="D459" s="9"/>
      <c r="G459" s="9"/>
      <c r="J459" s="9"/>
      <c r="N459" s="9"/>
      <c r="O459" s="19"/>
      <c r="P459" s="19"/>
      <c r="R459" s="19"/>
      <c r="S459" s="9"/>
    </row>
    <row r="460" spans="4:19" s="18" customFormat="1" x14ac:dyDescent="0.2">
      <c r="D460" s="9"/>
      <c r="G460" s="9"/>
      <c r="J460" s="9"/>
      <c r="N460" s="9"/>
      <c r="O460" s="19"/>
      <c r="P460" s="19"/>
      <c r="R460" s="19"/>
      <c r="S460" s="9"/>
    </row>
    <row r="461" spans="4:19" s="18" customFormat="1" x14ac:dyDescent="0.2">
      <c r="D461" s="9"/>
      <c r="G461" s="9"/>
      <c r="J461" s="9"/>
      <c r="N461" s="9"/>
      <c r="O461" s="19"/>
      <c r="P461" s="19"/>
      <c r="R461" s="19"/>
      <c r="S461" s="9"/>
    </row>
    <row r="462" spans="4:19" s="18" customFormat="1" x14ac:dyDescent="0.2">
      <c r="D462" s="9"/>
      <c r="G462" s="9"/>
      <c r="J462" s="9"/>
      <c r="N462" s="9"/>
      <c r="O462" s="19"/>
      <c r="P462" s="19"/>
      <c r="R462" s="19"/>
      <c r="S462" s="9"/>
    </row>
    <row r="463" spans="4:19" s="18" customFormat="1" x14ac:dyDescent="0.2">
      <c r="D463" s="9"/>
      <c r="G463" s="9"/>
      <c r="J463" s="9"/>
      <c r="N463" s="9"/>
      <c r="O463" s="19"/>
      <c r="P463" s="19"/>
      <c r="R463" s="19"/>
      <c r="S463" s="9"/>
    </row>
    <row r="464" spans="4:19" s="18" customFormat="1" x14ac:dyDescent="0.2">
      <c r="D464" s="9"/>
      <c r="G464" s="9"/>
      <c r="J464" s="9"/>
      <c r="N464" s="9"/>
      <c r="O464" s="19"/>
      <c r="P464" s="19"/>
      <c r="R464" s="19"/>
      <c r="S464" s="9"/>
    </row>
    <row r="465" spans="4:19" s="18" customFormat="1" x14ac:dyDescent="0.2">
      <c r="D465" s="9"/>
      <c r="G465" s="9"/>
      <c r="J465" s="9"/>
      <c r="N465" s="9"/>
      <c r="O465" s="19"/>
      <c r="P465" s="19"/>
      <c r="R465" s="19"/>
      <c r="S465" s="9"/>
    </row>
    <row r="466" spans="4:19" s="18" customFormat="1" x14ac:dyDescent="0.2">
      <c r="D466" s="9"/>
      <c r="G466" s="9"/>
      <c r="J466" s="9"/>
      <c r="N466" s="9"/>
      <c r="O466" s="19"/>
      <c r="P466" s="19"/>
      <c r="R466" s="19"/>
      <c r="S466" s="9"/>
    </row>
    <row r="467" spans="4:19" s="18" customFormat="1" x14ac:dyDescent="0.2">
      <c r="D467" s="9"/>
      <c r="G467" s="9"/>
      <c r="J467" s="9"/>
      <c r="N467" s="9"/>
      <c r="O467" s="19"/>
      <c r="P467" s="19"/>
      <c r="R467" s="19"/>
      <c r="S467" s="9"/>
    </row>
    <row r="468" spans="4:19" s="18" customFormat="1" x14ac:dyDescent="0.2">
      <c r="D468" s="9"/>
      <c r="G468" s="9"/>
      <c r="J468" s="9"/>
      <c r="N468" s="9"/>
      <c r="O468" s="19"/>
      <c r="P468" s="19"/>
      <c r="R468" s="19"/>
      <c r="S468" s="9"/>
    </row>
    <row r="469" spans="4:19" s="18" customFormat="1" x14ac:dyDescent="0.2">
      <c r="D469" s="9"/>
      <c r="G469" s="9"/>
      <c r="J469" s="9"/>
      <c r="N469" s="9"/>
      <c r="O469" s="19"/>
      <c r="P469" s="19"/>
      <c r="R469" s="19"/>
      <c r="S469" s="9"/>
    </row>
    <row r="470" spans="4:19" s="18" customFormat="1" x14ac:dyDescent="0.2">
      <c r="D470" s="9"/>
      <c r="G470" s="9"/>
      <c r="J470" s="9"/>
      <c r="N470" s="9"/>
      <c r="O470" s="19"/>
      <c r="P470" s="19"/>
      <c r="R470" s="19"/>
      <c r="S470" s="9"/>
    </row>
    <row r="471" spans="4:19" s="18" customFormat="1" x14ac:dyDescent="0.2">
      <c r="D471" s="9"/>
      <c r="G471" s="9"/>
      <c r="J471" s="9"/>
      <c r="N471" s="9"/>
      <c r="O471" s="19"/>
      <c r="P471" s="19"/>
      <c r="R471" s="19"/>
      <c r="S471" s="9"/>
    </row>
    <row r="472" spans="4:19" s="18" customFormat="1" x14ac:dyDescent="0.2">
      <c r="D472" s="9"/>
      <c r="G472" s="9"/>
      <c r="J472" s="9"/>
      <c r="N472" s="9"/>
      <c r="O472" s="19"/>
      <c r="P472" s="19"/>
      <c r="R472" s="19"/>
      <c r="S472" s="9"/>
    </row>
    <row r="473" spans="4:19" s="18" customFormat="1" x14ac:dyDescent="0.2">
      <c r="D473" s="9"/>
      <c r="G473" s="9"/>
      <c r="J473" s="9"/>
      <c r="N473" s="9"/>
      <c r="O473" s="19"/>
      <c r="P473" s="19"/>
      <c r="R473" s="19"/>
      <c r="S473" s="9"/>
    </row>
    <row r="474" spans="4:19" s="18" customFormat="1" x14ac:dyDescent="0.2">
      <c r="D474" s="9"/>
      <c r="G474" s="9"/>
      <c r="J474" s="9"/>
      <c r="N474" s="9"/>
      <c r="O474" s="19"/>
      <c r="P474" s="19"/>
      <c r="R474" s="19"/>
      <c r="S474" s="9"/>
    </row>
    <row r="475" spans="4:19" s="18" customFormat="1" x14ac:dyDescent="0.2">
      <c r="D475" s="9"/>
      <c r="G475" s="9"/>
      <c r="J475" s="9"/>
      <c r="N475" s="9"/>
      <c r="O475" s="19"/>
      <c r="P475" s="19"/>
      <c r="R475" s="19"/>
      <c r="S475" s="9"/>
    </row>
    <row r="476" spans="4:19" s="18" customFormat="1" x14ac:dyDescent="0.2">
      <c r="D476" s="9"/>
      <c r="G476" s="9"/>
      <c r="J476" s="9"/>
      <c r="N476" s="9"/>
      <c r="O476" s="19"/>
      <c r="P476" s="19"/>
      <c r="R476" s="19"/>
      <c r="S476" s="9"/>
    </row>
    <row r="477" spans="4:19" s="18" customFormat="1" x14ac:dyDescent="0.2">
      <c r="D477" s="9"/>
      <c r="G477" s="9"/>
      <c r="J477" s="9"/>
      <c r="N477" s="9"/>
      <c r="O477" s="19"/>
      <c r="P477" s="19"/>
      <c r="R477" s="19"/>
      <c r="S477" s="9"/>
    </row>
    <row r="478" spans="4:19" s="18" customFormat="1" x14ac:dyDescent="0.2">
      <c r="D478" s="9"/>
      <c r="G478" s="9"/>
      <c r="J478" s="9"/>
      <c r="N478" s="9"/>
      <c r="O478" s="19"/>
      <c r="P478" s="19"/>
      <c r="R478" s="19"/>
      <c r="S478" s="9"/>
    </row>
    <row r="479" spans="4:19" s="18" customFormat="1" x14ac:dyDescent="0.2">
      <c r="D479" s="9"/>
      <c r="G479" s="9"/>
      <c r="J479" s="9"/>
      <c r="N479" s="9"/>
      <c r="O479" s="19"/>
      <c r="P479" s="19"/>
      <c r="R479" s="19"/>
      <c r="S479" s="9"/>
    </row>
    <row r="480" spans="4:19" s="18" customFormat="1" x14ac:dyDescent="0.2">
      <c r="D480" s="9"/>
      <c r="G480" s="9"/>
      <c r="J480" s="9"/>
      <c r="N480" s="9"/>
      <c r="O480" s="19"/>
      <c r="P480" s="19"/>
      <c r="R480" s="19"/>
      <c r="S480" s="9"/>
    </row>
    <row r="481" spans="4:19" s="18" customFormat="1" x14ac:dyDescent="0.2">
      <c r="D481" s="9"/>
      <c r="G481" s="9"/>
      <c r="J481" s="9"/>
      <c r="N481" s="9"/>
      <c r="O481" s="19"/>
      <c r="P481" s="19"/>
      <c r="R481" s="19"/>
      <c r="S481" s="9"/>
    </row>
    <row r="482" spans="4:19" s="18" customFormat="1" x14ac:dyDescent="0.2">
      <c r="D482" s="9"/>
      <c r="G482" s="9"/>
      <c r="J482" s="9"/>
      <c r="N482" s="9"/>
      <c r="O482" s="19"/>
      <c r="P482" s="19"/>
      <c r="R482" s="19"/>
      <c r="S482" s="9"/>
    </row>
    <row r="483" spans="4:19" s="18" customFormat="1" x14ac:dyDescent="0.2">
      <c r="D483" s="9"/>
      <c r="G483" s="9"/>
      <c r="J483" s="9"/>
      <c r="N483" s="9"/>
      <c r="O483" s="19"/>
      <c r="P483" s="19"/>
      <c r="R483" s="19"/>
      <c r="S483" s="9"/>
    </row>
    <row r="484" spans="4:19" s="18" customFormat="1" x14ac:dyDescent="0.2">
      <c r="D484" s="9"/>
      <c r="G484" s="9"/>
      <c r="J484" s="9"/>
      <c r="N484" s="9"/>
      <c r="O484" s="19"/>
      <c r="P484" s="19"/>
      <c r="R484" s="19"/>
      <c r="S484" s="9"/>
    </row>
    <row r="485" spans="4:19" s="18" customFormat="1" x14ac:dyDescent="0.2">
      <c r="D485" s="9"/>
      <c r="G485" s="9"/>
      <c r="J485" s="9"/>
      <c r="N485" s="9"/>
      <c r="O485" s="19"/>
      <c r="P485" s="19"/>
      <c r="R485" s="19"/>
      <c r="S485" s="9"/>
    </row>
    <row r="486" spans="4:19" s="18" customFormat="1" x14ac:dyDescent="0.2">
      <c r="D486" s="9"/>
      <c r="G486" s="9"/>
      <c r="J486" s="9"/>
      <c r="N486" s="9"/>
      <c r="O486" s="19"/>
      <c r="P486" s="19"/>
      <c r="R486" s="19"/>
      <c r="S486" s="9"/>
    </row>
    <row r="487" spans="4:19" s="18" customFormat="1" x14ac:dyDescent="0.2">
      <c r="D487" s="9"/>
      <c r="G487" s="9"/>
      <c r="J487" s="9"/>
      <c r="N487" s="9"/>
      <c r="O487" s="19"/>
      <c r="P487" s="19"/>
      <c r="R487" s="19"/>
      <c r="S487" s="9"/>
    </row>
    <row r="488" spans="4:19" s="18" customFormat="1" x14ac:dyDescent="0.2">
      <c r="D488" s="9"/>
      <c r="G488" s="9"/>
      <c r="J488" s="9"/>
      <c r="N488" s="9"/>
      <c r="O488" s="19"/>
      <c r="P488" s="19"/>
      <c r="R488" s="19"/>
      <c r="S488" s="9"/>
    </row>
    <row r="489" spans="4:19" s="18" customFormat="1" x14ac:dyDescent="0.2">
      <c r="D489" s="9"/>
      <c r="G489" s="9"/>
      <c r="J489" s="9"/>
      <c r="N489" s="9"/>
      <c r="O489" s="19"/>
      <c r="P489" s="19"/>
      <c r="R489" s="19"/>
      <c r="S489" s="9"/>
    </row>
    <row r="490" spans="4:19" s="18" customFormat="1" x14ac:dyDescent="0.2">
      <c r="D490" s="9"/>
      <c r="G490" s="9"/>
      <c r="J490" s="9"/>
      <c r="N490" s="9"/>
      <c r="O490" s="19"/>
      <c r="P490" s="19"/>
      <c r="R490" s="19"/>
      <c r="S490" s="9"/>
    </row>
    <row r="491" spans="4:19" s="18" customFormat="1" x14ac:dyDescent="0.2">
      <c r="D491" s="9"/>
      <c r="G491" s="9"/>
      <c r="J491" s="9"/>
      <c r="N491" s="9"/>
      <c r="O491" s="19"/>
      <c r="P491" s="19"/>
      <c r="R491" s="19"/>
      <c r="S491" s="9"/>
    </row>
    <row r="492" spans="4:19" s="18" customFormat="1" x14ac:dyDescent="0.2">
      <c r="D492" s="9"/>
      <c r="G492" s="9"/>
      <c r="J492" s="9"/>
      <c r="N492" s="9"/>
      <c r="O492" s="19"/>
      <c r="P492" s="19"/>
      <c r="R492" s="19"/>
      <c r="S492" s="9"/>
    </row>
    <row r="493" spans="4:19" s="18" customFormat="1" x14ac:dyDescent="0.2">
      <c r="D493" s="9"/>
      <c r="G493" s="9"/>
      <c r="J493" s="9"/>
      <c r="N493" s="9"/>
      <c r="O493" s="19"/>
      <c r="P493" s="19"/>
      <c r="R493" s="19"/>
      <c r="S493" s="9"/>
    </row>
    <row r="494" spans="4:19" s="18" customFormat="1" x14ac:dyDescent="0.2">
      <c r="D494" s="9"/>
      <c r="G494" s="9"/>
      <c r="J494" s="9"/>
      <c r="N494" s="9"/>
      <c r="O494" s="19"/>
      <c r="P494" s="19"/>
      <c r="R494" s="19"/>
      <c r="S494" s="9"/>
    </row>
    <row r="495" spans="4:19" s="18" customFormat="1" x14ac:dyDescent="0.2">
      <c r="D495" s="9"/>
      <c r="G495" s="9"/>
      <c r="J495" s="9"/>
      <c r="N495" s="9"/>
      <c r="O495" s="19"/>
      <c r="P495" s="19"/>
      <c r="R495" s="19"/>
      <c r="S495" s="9"/>
    </row>
    <row r="496" spans="4:19" s="18" customFormat="1" x14ac:dyDescent="0.2">
      <c r="D496" s="9"/>
      <c r="G496" s="9"/>
      <c r="J496" s="9"/>
      <c r="N496" s="9"/>
      <c r="O496" s="19"/>
      <c r="P496" s="19"/>
      <c r="R496" s="19"/>
      <c r="S496" s="9"/>
    </row>
    <row r="497" spans="4:19" s="18" customFormat="1" x14ac:dyDescent="0.2">
      <c r="D497" s="9"/>
      <c r="G497" s="9"/>
      <c r="J497" s="9"/>
      <c r="N497" s="9"/>
      <c r="O497" s="19"/>
      <c r="P497" s="19"/>
      <c r="R497" s="19"/>
      <c r="S497" s="9"/>
    </row>
    <row r="498" spans="4:19" s="18" customFormat="1" x14ac:dyDescent="0.2">
      <c r="D498" s="9"/>
      <c r="G498" s="9"/>
      <c r="J498" s="9"/>
      <c r="N498" s="9"/>
      <c r="O498" s="19"/>
      <c r="P498" s="19"/>
      <c r="R498" s="19"/>
      <c r="S498" s="9"/>
    </row>
    <row r="499" spans="4:19" s="18" customFormat="1" x14ac:dyDescent="0.2">
      <c r="D499" s="9"/>
      <c r="G499" s="9"/>
      <c r="J499" s="9"/>
      <c r="N499" s="9"/>
      <c r="O499" s="19"/>
      <c r="P499" s="19"/>
      <c r="R499" s="19"/>
      <c r="S499" s="9"/>
    </row>
    <row r="500" spans="4:19" s="18" customFormat="1" x14ac:dyDescent="0.2">
      <c r="D500" s="9"/>
      <c r="G500" s="9"/>
      <c r="J500" s="9"/>
      <c r="N500" s="9"/>
      <c r="O500" s="19"/>
      <c r="P500" s="19"/>
      <c r="R500" s="19"/>
      <c r="S500" s="9"/>
    </row>
    <row r="501" spans="4:19" s="18" customFormat="1" x14ac:dyDescent="0.2">
      <c r="D501" s="9"/>
      <c r="G501" s="9"/>
      <c r="J501" s="9"/>
      <c r="N501" s="9"/>
      <c r="O501" s="19"/>
      <c r="P501" s="19"/>
      <c r="R501" s="19"/>
      <c r="S501" s="9"/>
    </row>
    <row r="502" spans="4:19" s="18" customFormat="1" x14ac:dyDescent="0.2">
      <c r="D502" s="9"/>
      <c r="G502" s="9"/>
      <c r="J502" s="9"/>
      <c r="N502" s="9"/>
      <c r="O502" s="19"/>
      <c r="P502" s="19"/>
      <c r="R502" s="19"/>
      <c r="S502" s="9"/>
    </row>
    <row r="503" spans="4:19" s="18" customFormat="1" x14ac:dyDescent="0.2">
      <c r="D503" s="9"/>
      <c r="G503" s="9"/>
      <c r="J503" s="9"/>
      <c r="N503" s="9"/>
      <c r="O503" s="19"/>
      <c r="P503" s="19"/>
      <c r="R503" s="19"/>
      <c r="S503" s="9"/>
    </row>
    <row r="504" spans="4:19" s="18" customFormat="1" x14ac:dyDescent="0.2">
      <c r="D504" s="9"/>
      <c r="G504" s="9"/>
      <c r="J504" s="9"/>
      <c r="N504" s="9"/>
      <c r="O504" s="19"/>
      <c r="P504" s="19"/>
      <c r="R504" s="19"/>
      <c r="S504" s="9"/>
    </row>
    <row r="505" spans="4:19" s="18" customFormat="1" x14ac:dyDescent="0.2">
      <c r="D505" s="9"/>
      <c r="G505" s="9"/>
      <c r="J505" s="9"/>
      <c r="N505" s="9"/>
      <c r="O505" s="19"/>
      <c r="P505" s="19"/>
      <c r="R505" s="19"/>
      <c r="S505" s="9"/>
    </row>
    <row r="506" spans="4:19" s="18" customFormat="1" x14ac:dyDescent="0.2">
      <c r="D506" s="9"/>
      <c r="G506" s="9"/>
      <c r="J506" s="9"/>
      <c r="N506" s="9"/>
      <c r="O506" s="19"/>
      <c r="P506" s="19"/>
      <c r="R506" s="19"/>
      <c r="S506" s="9"/>
    </row>
    <row r="507" spans="4:19" s="18" customFormat="1" x14ac:dyDescent="0.2">
      <c r="D507" s="9"/>
      <c r="G507" s="9"/>
      <c r="J507" s="9"/>
      <c r="N507" s="9"/>
      <c r="O507" s="19"/>
      <c r="P507" s="19"/>
      <c r="R507" s="19"/>
      <c r="S507" s="9"/>
    </row>
    <row r="508" spans="4:19" s="18" customFormat="1" x14ac:dyDescent="0.2">
      <c r="D508" s="9"/>
      <c r="G508" s="9"/>
      <c r="J508" s="9"/>
      <c r="N508" s="9"/>
      <c r="O508" s="19"/>
      <c r="P508" s="19"/>
      <c r="R508" s="19"/>
      <c r="S508" s="9"/>
    </row>
    <row r="509" spans="4:19" s="18" customFormat="1" x14ac:dyDescent="0.2">
      <c r="D509" s="9"/>
      <c r="G509" s="9"/>
      <c r="J509" s="9"/>
      <c r="N509" s="9"/>
      <c r="O509" s="19"/>
      <c r="P509" s="19"/>
      <c r="R509" s="19"/>
      <c r="S509" s="9"/>
    </row>
    <row r="510" spans="4:19" s="18" customFormat="1" x14ac:dyDescent="0.2">
      <c r="D510" s="9"/>
      <c r="G510" s="9"/>
      <c r="J510" s="9"/>
      <c r="N510" s="9"/>
      <c r="O510" s="19"/>
      <c r="P510" s="19"/>
      <c r="R510" s="19"/>
      <c r="S510" s="9"/>
    </row>
    <row r="511" spans="4:19" s="18" customFormat="1" x14ac:dyDescent="0.2">
      <c r="D511" s="9"/>
      <c r="G511" s="9"/>
      <c r="J511" s="9"/>
      <c r="N511" s="9"/>
      <c r="O511" s="19"/>
      <c r="P511" s="19"/>
      <c r="R511" s="19"/>
      <c r="S511" s="9"/>
    </row>
    <row r="512" spans="4:19" s="18" customFormat="1" x14ac:dyDescent="0.2">
      <c r="D512" s="9"/>
      <c r="G512" s="9"/>
      <c r="J512" s="9"/>
      <c r="N512" s="9"/>
      <c r="O512" s="19"/>
      <c r="P512" s="19"/>
      <c r="R512" s="19"/>
      <c r="S512" s="9"/>
    </row>
    <row r="513" spans="4:19" s="18" customFormat="1" x14ac:dyDescent="0.2">
      <c r="D513" s="9"/>
      <c r="G513" s="9"/>
      <c r="J513" s="9"/>
      <c r="N513" s="9"/>
      <c r="O513" s="19"/>
      <c r="P513" s="19"/>
      <c r="R513" s="19"/>
      <c r="S513" s="9"/>
    </row>
    <row r="514" spans="4:19" s="18" customFormat="1" x14ac:dyDescent="0.2">
      <c r="D514" s="9"/>
      <c r="G514" s="9"/>
      <c r="J514" s="9"/>
      <c r="N514" s="9"/>
      <c r="O514" s="19"/>
      <c r="P514" s="19"/>
      <c r="R514" s="19"/>
      <c r="S514" s="9"/>
    </row>
    <row r="515" spans="4:19" s="18" customFormat="1" x14ac:dyDescent="0.2">
      <c r="D515" s="9"/>
      <c r="G515" s="9"/>
      <c r="J515" s="9"/>
      <c r="N515" s="9"/>
      <c r="O515" s="19"/>
      <c r="P515" s="19"/>
      <c r="R515" s="19"/>
      <c r="S515" s="9"/>
    </row>
    <row r="516" spans="4:19" s="18" customFormat="1" x14ac:dyDescent="0.2">
      <c r="D516" s="9"/>
      <c r="G516" s="9"/>
      <c r="J516" s="9"/>
      <c r="N516" s="9"/>
      <c r="O516" s="19"/>
      <c r="P516" s="19"/>
      <c r="R516" s="19"/>
      <c r="S516" s="9"/>
    </row>
    <row r="517" spans="4:19" s="18" customFormat="1" x14ac:dyDescent="0.2">
      <c r="D517" s="9"/>
      <c r="G517" s="9"/>
      <c r="J517" s="9"/>
      <c r="N517" s="9"/>
      <c r="O517" s="19"/>
      <c r="P517" s="19"/>
      <c r="R517" s="19"/>
      <c r="S517" s="9"/>
    </row>
    <row r="518" spans="4:19" s="18" customFormat="1" x14ac:dyDescent="0.2">
      <c r="D518" s="9"/>
      <c r="G518" s="9"/>
      <c r="J518" s="9"/>
      <c r="N518" s="9"/>
      <c r="O518" s="19"/>
      <c r="P518" s="19"/>
      <c r="R518" s="19"/>
      <c r="S518" s="9"/>
    </row>
    <row r="519" spans="4:19" s="18" customFormat="1" x14ac:dyDescent="0.2">
      <c r="D519" s="9"/>
      <c r="G519" s="9"/>
      <c r="J519" s="9"/>
      <c r="N519" s="9"/>
      <c r="O519" s="19"/>
      <c r="P519" s="19"/>
      <c r="R519" s="19"/>
      <c r="S519" s="9"/>
    </row>
    <row r="520" spans="4:19" s="18" customFormat="1" x14ac:dyDescent="0.2">
      <c r="D520" s="9"/>
      <c r="G520" s="9"/>
      <c r="J520" s="9"/>
      <c r="N520" s="9"/>
      <c r="O520" s="19"/>
      <c r="P520" s="19"/>
      <c r="R520" s="19"/>
      <c r="S520" s="9"/>
    </row>
    <row r="521" spans="4:19" s="18" customFormat="1" x14ac:dyDescent="0.2">
      <c r="D521" s="9"/>
      <c r="G521" s="9"/>
      <c r="J521" s="9"/>
      <c r="N521" s="9"/>
      <c r="O521" s="19"/>
      <c r="P521" s="19"/>
      <c r="R521" s="19"/>
      <c r="S521" s="9"/>
    </row>
    <row r="522" spans="4:19" s="18" customFormat="1" x14ac:dyDescent="0.2">
      <c r="D522" s="9"/>
      <c r="G522" s="9"/>
      <c r="J522" s="9"/>
      <c r="N522" s="9"/>
      <c r="O522" s="19"/>
      <c r="P522" s="19"/>
      <c r="R522" s="19"/>
      <c r="S522" s="9"/>
    </row>
    <row r="523" spans="4:19" s="18" customFormat="1" x14ac:dyDescent="0.2">
      <c r="D523" s="9"/>
      <c r="G523" s="9"/>
      <c r="J523" s="9"/>
      <c r="N523" s="9"/>
      <c r="O523" s="19"/>
      <c r="P523" s="19"/>
      <c r="R523" s="19"/>
      <c r="S523" s="9"/>
    </row>
    <row r="524" spans="4:19" s="18" customFormat="1" x14ac:dyDescent="0.2">
      <c r="D524" s="9"/>
      <c r="G524" s="9"/>
      <c r="J524" s="9"/>
      <c r="N524" s="9"/>
      <c r="O524" s="19"/>
      <c r="P524" s="19"/>
      <c r="R524" s="19"/>
      <c r="S524" s="9"/>
    </row>
    <row r="525" spans="4:19" s="18" customFormat="1" x14ac:dyDescent="0.2">
      <c r="D525" s="9"/>
      <c r="G525" s="9"/>
      <c r="J525" s="9"/>
      <c r="N525" s="9"/>
      <c r="O525" s="19"/>
      <c r="P525" s="19"/>
      <c r="R525" s="19"/>
      <c r="S525" s="9"/>
    </row>
    <row r="526" spans="4:19" s="18" customFormat="1" x14ac:dyDescent="0.2">
      <c r="D526" s="9"/>
      <c r="G526" s="9"/>
      <c r="J526" s="9"/>
      <c r="N526" s="9"/>
      <c r="O526" s="19"/>
      <c r="P526" s="19"/>
      <c r="R526" s="19"/>
      <c r="S526" s="9"/>
    </row>
    <row r="527" spans="4:19" s="18" customFormat="1" x14ac:dyDescent="0.2">
      <c r="D527" s="9"/>
      <c r="G527" s="9"/>
      <c r="J527" s="9"/>
      <c r="N527" s="9"/>
      <c r="O527" s="19"/>
      <c r="P527" s="19"/>
      <c r="R527" s="19"/>
      <c r="S527" s="9"/>
    </row>
    <row r="528" spans="4:19" s="18" customFormat="1" x14ac:dyDescent="0.2">
      <c r="D528" s="9"/>
      <c r="G528" s="9"/>
      <c r="J528" s="9"/>
      <c r="N528" s="9"/>
      <c r="O528" s="19"/>
      <c r="P528" s="19"/>
      <c r="R528" s="19"/>
      <c r="S528" s="9"/>
    </row>
    <row r="529" spans="4:19" s="18" customFormat="1" x14ac:dyDescent="0.2">
      <c r="D529" s="9"/>
      <c r="G529" s="9"/>
      <c r="J529" s="9"/>
      <c r="N529" s="9"/>
      <c r="O529" s="19"/>
      <c r="P529" s="19"/>
      <c r="R529" s="19"/>
      <c r="S529" s="9"/>
    </row>
    <row r="530" spans="4:19" s="18" customFormat="1" x14ac:dyDescent="0.2">
      <c r="D530" s="9"/>
      <c r="G530" s="9"/>
      <c r="J530" s="9"/>
      <c r="N530" s="9"/>
      <c r="O530" s="19"/>
      <c r="P530" s="19"/>
      <c r="R530" s="19"/>
      <c r="S530" s="9"/>
    </row>
    <row r="531" spans="4:19" s="18" customFormat="1" x14ac:dyDescent="0.2">
      <c r="D531" s="9"/>
      <c r="G531" s="9"/>
      <c r="J531" s="9"/>
      <c r="N531" s="9"/>
      <c r="O531" s="19"/>
      <c r="P531" s="19"/>
      <c r="R531" s="19"/>
      <c r="S531" s="9"/>
    </row>
    <row r="532" spans="4:19" s="18" customFormat="1" x14ac:dyDescent="0.2">
      <c r="D532" s="9"/>
      <c r="G532" s="9"/>
      <c r="J532" s="9"/>
      <c r="N532" s="9"/>
      <c r="O532" s="19"/>
      <c r="P532" s="19"/>
      <c r="R532" s="19"/>
      <c r="S532" s="9"/>
    </row>
    <row r="533" spans="4:19" s="18" customFormat="1" x14ac:dyDescent="0.2">
      <c r="D533" s="9"/>
      <c r="G533" s="9"/>
      <c r="J533" s="9"/>
      <c r="N533" s="9"/>
      <c r="O533" s="19"/>
      <c r="P533" s="19"/>
      <c r="R533" s="19"/>
      <c r="S533" s="9"/>
    </row>
    <row r="534" spans="4:19" s="18" customFormat="1" x14ac:dyDescent="0.2">
      <c r="D534" s="9"/>
      <c r="G534" s="9"/>
      <c r="J534" s="9"/>
      <c r="N534" s="9"/>
      <c r="O534" s="19"/>
      <c r="P534" s="19"/>
      <c r="R534" s="19"/>
      <c r="S534" s="9"/>
    </row>
    <row r="535" spans="4:19" s="18" customFormat="1" x14ac:dyDescent="0.2">
      <c r="D535" s="9"/>
      <c r="G535" s="9"/>
      <c r="J535" s="9"/>
      <c r="N535" s="9"/>
      <c r="O535" s="19"/>
      <c r="P535" s="19"/>
      <c r="R535" s="19"/>
      <c r="S535" s="9"/>
    </row>
    <row r="536" spans="4:19" s="18" customFormat="1" x14ac:dyDescent="0.2">
      <c r="D536" s="9"/>
      <c r="G536" s="9"/>
      <c r="J536" s="9"/>
      <c r="N536" s="9"/>
      <c r="O536" s="19"/>
      <c r="P536" s="19"/>
      <c r="R536" s="19"/>
      <c r="S536" s="9"/>
    </row>
    <row r="537" spans="4:19" s="18" customFormat="1" x14ac:dyDescent="0.2">
      <c r="D537" s="9"/>
      <c r="G537" s="9"/>
      <c r="J537" s="9"/>
      <c r="N537" s="9"/>
      <c r="O537" s="19"/>
      <c r="P537" s="19"/>
      <c r="R537" s="19"/>
      <c r="S537" s="9"/>
    </row>
    <row r="538" spans="4:19" s="18" customFormat="1" x14ac:dyDescent="0.2">
      <c r="D538" s="9"/>
      <c r="G538" s="9"/>
      <c r="J538" s="9"/>
      <c r="N538" s="9"/>
      <c r="O538" s="19"/>
      <c r="P538" s="19"/>
      <c r="R538" s="19"/>
      <c r="S538" s="9"/>
    </row>
    <row r="539" spans="4:19" s="18" customFormat="1" x14ac:dyDescent="0.2">
      <c r="D539" s="9"/>
      <c r="G539" s="9"/>
      <c r="J539" s="9"/>
      <c r="N539" s="9"/>
      <c r="O539" s="19"/>
      <c r="P539" s="19"/>
      <c r="R539" s="19"/>
      <c r="S539" s="9"/>
    </row>
    <row r="540" spans="4:19" s="18" customFormat="1" x14ac:dyDescent="0.2">
      <c r="D540" s="9"/>
      <c r="G540" s="9"/>
      <c r="J540" s="9"/>
      <c r="N540" s="9"/>
      <c r="O540" s="19"/>
      <c r="P540" s="19"/>
      <c r="R540" s="19"/>
      <c r="S540" s="9"/>
    </row>
    <row r="541" spans="4:19" s="18" customFormat="1" x14ac:dyDescent="0.2">
      <c r="D541" s="9"/>
      <c r="G541" s="9"/>
      <c r="J541" s="9"/>
      <c r="N541" s="9"/>
      <c r="O541" s="19"/>
      <c r="P541" s="19"/>
      <c r="R541" s="19"/>
      <c r="S541" s="9"/>
    </row>
    <row r="542" spans="4:19" s="18" customFormat="1" x14ac:dyDescent="0.2">
      <c r="D542" s="9"/>
      <c r="G542" s="9"/>
      <c r="J542" s="9"/>
      <c r="N542" s="9"/>
      <c r="O542" s="19"/>
      <c r="P542" s="19"/>
      <c r="R542" s="19"/>
      <c r="S542" s="9"/>
    </row>
    <row r="543" spans="4:19" s="18" customFormat="1" x14ac:dyDescent="0.2">
      <c r="D543" s="9"/>
      <c r="G543" s="9"/>
      <c r="J543" s="9"/>
      <c r="N543" s="9"/>
      <c r="O543" s="19"/>
      <c r="P543" s="19"/>
      <c r="R543" s="19"/>
      <c r="S543" s="9"/>
    </row>
    <row r="544" spans="4:19" s="18" customFormat="1" x14ac:dyDescent="0.2">
      <c r="D544" s="9"/>
      <c r="G544" s="9"/>
      <c r="J544" s="9"/>
      <c r="N544" s="9"/>
      <c r="O544" s="19"/>
      <c r="P544" s="19"/>
      <c r="R544" s="19"/>
      <c r="S544" s="9"/>
    </row>
    <row r="545" spans="4:19" s="18" customFormat="1" x14ac:dyDescent="0.2">
      <c r="D545" s="9"/>
      <c r="G545" s="9"/>
      <c r="J545" s="9"/>
      <c r="N545" s="9"/>
      <c r="O545" s="19"/>
      <c r="P545" s="19"/>
      <c r="R545" s="19"/>
      <c r="S545" s="9"/>
    </row>
    <row r="546" spans="4:19" s="18" customFormat="1" x14ac:dyDescent="0.2">
      <c r="D546" s="9"/>
      <c r="G546" s="9"/>
      <c r="J546" s="9"/>
      <c r="N546" s="9"/>
      <c r="O546" s="19"/>
      <c r="P546" s="19"/>
      <c r="R546" s="19"/>
      <c r="S546" s="9"/>
    </row>
    <row r="547" spans="4:19" s="18" customFormat="1" x14ac:dyDescent="0.2">
      <c r="D547" s="9"/>
      <c r="G547" s="9"/>
      <c r="J547" s="9"/>
      <c r="N547" s="9"/>
      <c r="O547" s="19"/>
      <c r="P547" s="19"/>
      <c r="R547" s="19"/>
      <c r="S547" s="9"/>
    </row>
    <row r="548" spans="4:19" s="18" customFormat="1" x14ac:dyDescent="0.2">
      <c r="D548" s="9"/>
      <c r="G548" s="9"/>
      <c r="J548" s="9"/>
      <c r="N548" s="9"/>
      <c r="O548" s="19"/>
      <c r="P548" s="19"/>
      <c r="R548" s="19"/>
      <c r="S548" s="9"/>
    </row>
    <row r="549" spans="4:19" s="18" customFormat="1" x14ac:dyDescent="0.2">
      <c r="D549" s="9"/>
      <c r="G549" s="9"/>
      <c r="J549" s="9"/>
      <c r="N549" s="9"/>
      <c r="O549" s="19"/>
      <c r="P549" s="19"/>
      <c r="R549" s="19"/>
      <c r="S549" s="9"/>
    </row>
    <row r="550" spans="4:19" s="18" customFormat="1" x14ac:dyDescent="0.2">
      <c r="D550" s="9"/>
      <c r="G550" s="9"/>
      <c r="J550" s="9"/>
      <c r="N550" s="9"/>
      <c r="O550" s="19"/>
      <c r="P550" s="19"/>
      <c r="R550" s="19"/>
      <c r="S550" s="9"/>
    </row>
    <row r="551" spans="4:19" s="18" customFormat="1" x14ac:dyDescent="0.2">
      <c r="D551" s="9"/>
      <c r="G551" s="9"/>
      <c r="J551" s="9"/>
      <c r="N551" s="9"/>
      <c r="O551" s="19"/>
      <c r="P551" s="19"/>
      <c r="R551" s="19"/>
      <c r="S551" s="9"/>
    </row>
    <row r="552" spans="4:19" s="18" customFormat="1" x14ac:dyDescent="0.2">
      <c r="D552" s="9"/>
      <c r="G552" s="9"/>
      <c r="J552" s="9"/>
      <c r="N552" s="9"/>
      <c r="O552" s="19"/>
      <c r="P552" s="19"/>
      <c r="R552" s="19"/>
      <c r="S552" s="9"/>
    </row>
    <row r="553" spans="4:19" s="18" customFormat="1" x14ac:dyDescent="0.2">
      <c r="D553" s="9"/>
      <c r="G553" s="9"/>
      <c r="J553" s="9"/>
      <c r="N553" s="9"/>
      <c r="O553" s="19"/>
      <c r="P553" s="19"/>
      <c r="R553" s="19"/>
      <c r="S553" s="9"/>
    </row>
    <row r="554" spans="4:19" s="18" customFormat="1" x14ac:dyDescent="0.2">
      <c r="D554" s="9"/>
      <c r="G554" s="9"/>
      <c r="J554" s="9"/>
      <c r="N554" s="9"/>
      <c r="O554" s="19"/>
      <c r="P554" s="19"/>
      <c r="R554" s="19"/>
      <c r="S554" s="9"/>
    </row>
    <row r="555" spans="4:19" s="18" customFormat="1" x14ac:dyDescent="0.2">
      <c r="D555" s="9"/>
      <c r="G555" s="9"/>
      <c r="J555" s="9"/>
      <c r="N555" s="9"/>
      <c r="O555" s="19"/>
      <c r="P555" s="19"/>
      <c r="R555" s="19"/>
      <c r="S555" s="9"/>
    </row>
    <row r="556" spans="4:19" s="18" customFormat="1" x14ac:dyDescent="0.2">
      <c r="D556" s="9"/>
      <c r="G556" s="9"/>
      <c r="J556" s="9"/>
      <c r="N556" s="9"/>
      <c r="O556" s="19"/>
      <c r="P556" s="19"/>
      <c r="R556" s="19"/>
      <c r="S556" s="9"/>
    </row>
    <row r="557" spans="4:19" s="18" customFormat="1" x14ac:dyDescent="0.2">
      <c r="D557" s="9"/>
      <c r="G557" s="9"/>
      <c r="J557" s="9"/>
      <c r="N557" s="9"/>
      <c r="O557" s="19"/>
      <c r="P557" s="19"/>
      <c r="R557" s="19"/>
      <c r="S557" s="9"/>
    </row>
    <row r="558" spans="4:19" s="18" customFormat="1" x14ac:dyDescent="0.2">
      <c r="D558" s="9"/>
      <c r="G558" s="9"/>
      <c r="J558" s="9"/>
      <c r="N558" s="9"/>
      <c r="O558" s="19"/>
      <c r="P558" s="19"/>
      <c r="R558" s="19"/>
      <c r="S558" s="9"/>
    </row>
    <row r="559" spans="4:19" s="18" customFormat="1" x14ac:dyDescent="0.2">
      <c r="D559" s="9"/>
      <c r="G559" s="9"/>
      <c r="J559" s="9"/>
      <c r="N559" s="9"/>
      <c r="O559" s="19"/>
      <c r="P559" s="19"/>
      <c r="R559" s="19"/>
      <c r="S559" s="9"/>
    </row>
    <row r="560" spans="4:19" s="18" customFormat="1" x14ac:dyDescent="0.2">
      <c r="D560" s="9"/>
      <c r="G560" s="9"/>
      <c r="J560" s="9"/>
      <c r="N560" s="9"/>
      <c r="O560" s="19"/>
      <c r="P560" s="19"/>
      <c r="R560" s="19"/>
      <c r="S560" s="9"/>
    </row>
    <row r="561" spans="4:19" s="18" customFormat="1" x14ac:dyDescent="0.2">
      <c r="D561" s="9"/>
      <c r="G561" s="9"/>
      <c r="J561" s="9"/>
      <c r="N561" s="9"/>
      <c r="O561" s="19"/>
      <c r="P561" s="19"/>
      <c r="R561" s="19"/>
      <c r="S561" s="9"/>
    </row>
    <row r="562" spans="4:19" s="18" customFormat="1" x14ac:dyDescent="0.2">
      <c r="D562" s="9"/>
      <c r="G562" s="9"/>
      <c r="J562" s="9"/>
      <c r="N562" s="9"/>
      <c r="O562" s="19"/>
      <c r="P562" s="19"/>
      <c r="R562" s="19"/>
      <c r="S562" s="9"/>
    </row>
    <row r="563" spans="4:19" s="18" customFormat="1" x14ac:dyDescent="0.2">
      <c r="D563" s="9"/>
      <c r="G563" s="9"/>
      <c r="J563" s="9"/>
      <c r="N563" s="9"/>
      <c r="O563" s="19"/>
      <c r="P563" s="19"/>
      <c r="R563" s="19"/>
      <c r="S563" s="9"/>
    </row>
    <row r="564" spans="4:19" s="18" customFormat="1" x14ac:dyDescent="0.2">
      <c r="D564" s="9"/>
      <c r="G564" s="9"/>
      <c r="J564" s="9"/>
      <c r="N564" s="9"/>
      <c r="O564" s="19"/>
      <c r="P564" s="19"/>
      <c r="R564" s="19"/>
      <c r="S564" s="9"/>
    </row>
    <row r="565" spans="4:19" s="18" customFormat="1" x14ac:dyDescent="0.2">
      <c r="D565" s="9"/>
      <c r="G565" s="9"/>
      <c r="J565" s="9"/>
      <c r="N565" s="9"/>
      <c r="O565" s="19"/>
      <c r="P565" s="19"/>
      <c r="R565" s="19"/>
      <c r="S565" s="9"/>
    </row>
    <row r="566" spans="4:19" s="18" customFormat="1" x14ac:dyDescent="0.2">
      <c r="D566" s="9"/>
      <c r="G566" s="9"/>
      <c r="J566" s="9"/>
      <c r="N566" s="9"/>
      <c r="O566" s="19"/>
      <c r="P566" s="19"/>
      <c r="R566" s="19"/>
      <c r="S566" s="9"/>
    </row>
    <row r="567" spans="4:19" s="18" customFormat="1" x14ac:dyDescent="0.2">
      <c r="D567" s="9"/>
      <c r="G567" s="9"/>
      <c r="J567" s="9"/>
      <c r="N567" s="9"/>
      <c r="O567" s="19"/>
      <c r="P567" s="19"/>
      <c r="R567" s="19"/>
      <c r="S567" s="9"/>
    </row>
    <row r="568" spans="4:19" s="18" customFormat="1" x14ac:dyDescent="0.2">
      <c r="D568" s="9"/>
      <c r="G568" s="9"/>
      <c r="J568" s="9"/>
      <c r="N568" s="9"/>
      <c r="O568" s="19"/>
      <c r="P568" s="19"/>
      <c r="R568" s="19"/>
      <c r="S568" s="9"/>
    </row>
    <row r="569" spans="4:19" s="18" customFormat="1" x14ac:dyDescent="0.2">
      <c r="D569" s="9"/>
      <c r="G569" s="9"/>
      <c r="J569" s="9"/>
      <c r="N569" s="9"/>
      <c r="O569" s="19"/>
      <c r="P569" s="19"/>
      <c r="R569" s="19"/>
      <c r="S569" s="9"/>
    </row>
    <row r="570" spans="4:19" s="18" customFormat="1" x14ac:dyDescent="0.2">
      <c r="D570" s="9"/>
      <c r="G570" s="9"/>
      <c r="J570" s="9"/>
      <c r="N570" s="9"/>
      <c r="O570" s="19"/>
      <c r="P570" s="19"/>
      <c r="R570" s="19"/>
      <c r="S570" s="9"/>
    </row>
    <row r="571" spans="4:19" s="18" customFormat="1" x14ac:dyDescent="0.2">
      <c r="D571" s="9"/>
      <c r="G571" s="9"/>
      <c r="J571" s="9"/>
      <c r="N571" s="9"/>
      <c r="O571" s="19"/>
      <c r="P571" s="19"/>
      <c r="R571" s="19"/>
      <c r="S571" s="9"/>
    </row>
    <row r="572" spans="4:19" s="18" customFormat="1" x14ac:dyDescent="0.2">
      <c r="D572" s="9"/>
      <c r="G572" s="9"/>
      <c r="J572" s="9"/>
      <c r="N572" s="9"/>
      <c r="O572" s="19"/>
      <c r="P572" s="19"/>
      <c r="R572" s="19"/>
      <c r="S572" s="9"/>
    </row>
    <row r="573" spans="4:19" s="18" customFormat="1" x14ac:dyDescent="0.2">
      <c r="D573" s="9"/>
      <c r="G573" s="9"/>
      <c r="J573" s="9"/>
      <c r="N573" s="9"/>
      <c r="O573" s="19"/>
      <c r="P573" s="19"/>
      <c r="R573" s="19"/>
      <c r="S573" s="9"/>
    </row>
    <row r="574" spans="4:19" s="18" customFormat="1" x14ac:dyDescent="0.2">
      <c r="D574" s="9"/>
      <c r="G574" s="9"/>
      <c r="J574" s="9"/>
      <c r="N574" s="9"/>
      <c r="O574" s="19"/>
      <c r="P574" s="19"/>
      <c r="R574" s="19"/>
      <c r="S574" s="9"/>
    </row>
    <row r="575" spans="4:19" s="18" customFormat="1" x14ac:dyDescent="0.2">
      <c r="D575" s="9"/>
      <c r="G575" s="9"/>
      <c r="J575" s="9"/>
      <c r="N575" s="9"/>
      <c r="O575" s="19"/>
      <c r="P575" s="19"/>
      <c r="R575" s="19"/>
      <c r="S575" s="9"/>
    </row>
    <row r="576" spans="4:19" s="18" customFormat="1" x14ac:dyDescent="0.2">
      <c r="D576" s="9"/>
      <c r="G576" s="9"/>
      <c r="J576" s="9"/>
      <c r="N576" s="9"/>
      <c r="O576" s="19"/>
      <c r="P576" s="19"/>
      <c r="R576" s="19"/>
      <c r="S576" s="9"/>
    </row>
    <row r="577" spans="4:19" s="18" customFormat="1" x14ac:dyDescent="0.2">
      <c r="D577" s="9"/>
      <c r="G577" s="9"/>
      <c r="J577" s="9"/>
      <c r="N577" s="9"/>
      <c r="O577" s="19"/>
      <c r="P577" s="19"/>
      <c r="R577" s="19"/>
      <c r="S577" s="9"/>
    </row>
    <row r="578" spans="4:19" s="18" customFormat="1" x14ac:dyDescent="0.2">
      <c r="D578" s="9"/>
      <c r="G578" s="9"/>
      <c r="J578" s="9"/>
      <c r="N578" s="9"/>
      <c r="O578" s="19"/>
      <c r="P578" s="19"/>
      <c r="R578" s="19"/>
      <c r="S578" s="9"/>
    </row>
    <row r="579" spans="4:19" s="18" customFormat="1" x14ac:dyDescent="0.2">
      <c r="D579" s="9"/>
      <c r="G579" s="9"/>
      <c r="J579" s="9"/>
      <c r="N579" s="9"/>
      <c r="O579" s="19"/>
      <c r="P579" s="19"/>
      <c r="R579" s="19"/>
      <c r="S579" s="9"/>
    </row>
    <row r="580" spans="4:19" s="18" customFormat="1" x14ac:dyDescent="0.2">
      <c r="D580" s="9"/>
      <c r="G580" s="9"/>
      <c r="J580" s="9"/>
      <c r="N580" s="9"/>
      <c r="O580" s="19"/>
      <c r="P580" s="19"/>
      <c r="R580" s="19"/>
      <c r="S580" s="9"/>
    </row>
    <row r="581" spans="4:19" s="18" customFormat="1" x14ac:dyDescent="0.2">
      <c r="D581" s="9"/>
      <c r="G581" s="9"/>
      <c r="J581" s="9"/>
      <c r="N581" s="9"/>
      <c r="O581" s="19"/>
      <c r="P581" s="19"/>
      <c r="R581" s="19"/>
      <c r="S581" s="9"/>
    </row>
    <row r="582" spans="4:19" s="18" customFormat="1" x14ac:dyDescent="0.2">
      <c r="D582" s="9"/>
      <c r="G582" s="9"/>
      <c r="J582" s="9"/>
      <c r="N582" s="9"/>
      <c r="O582" s="19"/>
      <c r="P582" s="19"/>
      <c r="R582" s="19"/>
      <c r="S582" s="9"/>
    </row>
    <row r="583" spans="4:19" s="18" customFormat="1" x14ac:dyDescent="0.2">
      <c r="D583" s="9"/>
      <c r="G583" s="9"/>
      <c r="J583" s="9"/>
      <c r="N583" s="9"/>
      <c r="O583" s="19"/>
      <c r="P583" s="19"/>
      <c r="R583" s="19"/>
      <c r="S583" s="9"/>
    </row>
    <row r="584" spans="4:19" s="18" customFormat="1" x14ac:dyDescent="0.2">
      <c r="D584" s="9"/>
      <c r="G584" s="9"/>
      <c r="J584" s="9"/>
      <c r="N584" s="9"/>
      <c r="O584" s="19"/>
      <c r="P584" s="19"/>
      <c r="R584" s="19"/>
      <c r="S584" s="9"/>
    </row>
    <row r="585" spans="4:19" s="18" customFormat="1" x14ac:dyDescent="0.2">
      <c r="D585" s="9"/>
      <c r="G585" s="9"/>
      <c r="J585" s="9"/>
      <c r="N585" s="9"/>
      <c r="O585" s="19"/>
      <c r="P585" s="19"/>
      <c r="R585" s="19"/>
      <c r="S585" s="9"/>
    </row>
    <row r="586" spans="4:19" s="18" customFormat="1" x14ac:dyDescent="0.2">
      <c r="D586" s="9"/>
      <c r="G586" s="9"/>
      <c r="J586" s="9"/>
      <c r="N586" s="9"/>
      <c r="O586" s="19"/>
      <c r="P586" s="19"/>
      <c r="R586" s="19"/>
      <c r="S586" s="9"/>
    </row>
    <row r="587" spans="4:19" s="18" customFormat="1" x14ac:dyDescent="0.2">
      <c r="D587" s="9"/>
      <c r="G587" s="9"/>
      <c r="J587" s="9"/>
      <c r="N587" s="9"/>
      <c r="O587" s="19"/>
      <c r="P587" s="19"/>
      <c r="R587" s="19"/>
      <c r="S587" s="9"/>
    </row>
    <row r="588" spans="4:19" s="18" customFormat="1" x14ac:dyDescent="0.2">
      <c r="D588" s="9"/>
      <c r="G588" s="9"/>
      <c r="J588" s="9"/>
      <c r="N588" s="9"/>
      <c r="O588" s="19"/>
      <c r="P588" s="19"/>
      <c r="R588" s="19"/>
      <c r="S588" s="9"/>
    </row>
    <row r="589" spans="4:19" s="18" customFormat="1" x14ac:dyDescent="0.2">
      <c r="D589" s="9"/>
      <c r="G589" s="9"/>
      <c r="J589" s="9"/>
      <c r="N589" s="9"/>
      <c r="O589" s="19"/>
      <c r="P589" s="19"/>
      <c r="R589" s="19"/>
      <c r="S589" s="9"/>
    </row>
    <row r="590" spans="4:19" s="18" customFormat="1" x14ac:dyDescent="0.2">
      <c r="D590" s="9"/>
      <c r="G590" s="9"/>
      <c r="J590" s="9"/>
      <c r="N590" s="9"/>
      <c r="O590" s="19"/>
      <c r="P590" s="19"/>
      <c r="R590" s="19"/>
      <c r="S590" s="9"/>
    </row>
    <row r="591" spans="4:19" s="18" customFormat="1" x14ac:dyDescent="0.2">
      <c r="D591" s="9"/>
      <c r="G591" s="9"/>
      <c r="J591" s="9"/>
      <c r="N591" s="9"/>
      <c r="O591" s="19"/>
      <c r="P591" s="19"/>
      <c r="R591" s="19"/>
      <c r="S591" s="9"/>
    </row>
    <row r="592" spans="4:19" s="18" customFormat="1" x14ac:dyDescent="0.2">
      <c r="D592" s="9"/>
      <c r="G592" s="9"/>
      <c r="J592" s="9"/>
      <c r="N592" s="9"/>
      <c r="O592" s="19"/>
      <c r="P592" s="19"/>
      <c r="R592" s="19"/>
      <c r="S592" s="9"/>
    </row>
    <row r="593" spans="4:19" s="18" customFormat="1" x14ac:dyDescent="0.2">
      <c r="D593" s="9"/>
      <c r="G593" s="9"/>
      <c r="J593" s="9"/>
      <c r="N593" s="9"/>
      <c r="O593" s="19"/>
      <c r="P593" s="19"/>
      <c r="R593" s="19"/>
      <c r="S593" s="9"/>
    </row>
    <row r="594" spans="4:19" s="18" customFormat="1" x14ac:dyDescent="0.2">
      <c r="D594" s="9"/>
      <c r="G594" s="9"/>
      <c r="J594" s="9"/>
      <c r="N594" s="9"/>
      <c r="O594" s="19"/>
      <c r="P594" s="19"/>
      <c r="R594" s="19"/>
      <c r="S594" s="9"/>
    </row>
    <row r="595" spans="4:19" s="18" customFormat="1" x14ac:dyDescent="0.2">
      <c r="D595" s="9"/>
      <c r="G595" s="9"/>
      <c r="J595" s="9"/>
      <c r="N595" s="9"/>
      <c r="O595" s="19"/>
      <c r="P595" s="19"/>
      <c r="R595" s="19"/>
      <c r="S595" s="9"/>
    </row>
    <row r="596" spans="4:19" s="18" customFormat="1" x14ac:dyDescent="0.2">
      <c r="D596" s="9"/>
      <c r="G596" s="9"/>
      <c r="J596" s="9"/>
      <c r="N596" s="9"/>
      <c r="O596" s="19"/>
      <c r="P596" s="19"/>
      <c r="R596" s="19"/>
      <c r="S596" s="9"/>
    </row>
    <row r="597" spans="4:19" s="18" customFormat="1" x14ac:dyDescent="0.2">
      <c r="D597" s="9"/>
      <c r="G597" s="9"/>
      <c r="J597" s="9"/>
      <c r="N597" s="9"/>
      <c r="O597" s="19"/>
      <c r="P597" s="19"/>
      <c r="R597" s="19"/>
      <c r="S597" s="9"/>
    </row>
    <row r="598" spans="4:19" s="18" customFormat="1" x14ac:dyDescent="0.2">
      <c r="D598" s="9"/>
      <c r="G598" s="9"/>
      <c r="J598" s="9"/>
      <c r="N598" s="9"/>
      <c r="O598" s="19"/>
      <c r="P598" s="19"/>
      <c r="R598" s="19"/>
      <c r="S598" s="9"/>
    </row>
    <row r="599" spans="4:19" s="18" customFormat="1" x14ac:dyDescent="0.2">
      <c r="D599" s="9"/>
      <c r="G599" s="9"/>
      <c r="J599" s="9"/>
      <c r="N599" s="9"/>
      <c r="O599" s="19"/>
      <c r="P599" s="19"/>
      <c r="R599" s="19"/>
      <c r="S599" s="9"/>
    </row>
    <row r="600" spans="4:19" s="18" customFormat="1" x14ac:dyDescent="0.2">
      <c r="D600" s="9"/>
      <c r="G600" s="9"/>
      <c r="J600" s="9"/>
      <c r="N600" s="9"/>
      <c r="O600" s="19"/>
      <c r="P600" s="19"/>
      <c r="R600" s="19"/>
      <c r="S600" s="9"/>
    </row>
    <row r="601" spans="4:19" s="18" customFormat="1" x14ac:dyDescent="0.2">
      <c r="D601" s="9"/>
      <c r="G601" s="9"/>
      <c r="J601" s="9"/>
      <c r="N601" s="9"/>
      <c r="O601" s="19"/>
      <c r="P601" s="19"/>
      <c r="R601" s="19"/>
      <c r="S601" s="9"/>
    </row>
    <row r="602" spans="4:19" s="18" customFormat="1" x14ac:dyDescent="0.2">
      <c r="D602" s="9"/>
      <c r="G602" s="9"/>
      <c r="J602" s="9"/>
      <c r="N602" s="9"/>
      <c r="O602" s="19"/>
      <c r="P602" s="19"/>
      <c r="R602" s="19"/>
      <c r="S602" s="9"/>
    </row>
    <row r="603" spans="4:19" s="18" customFormat="1" x14ac:dyDescent="0.2">
      <c r="D603" s="9"/>
      <c r="G603" s="9"/>
      <c r="J603" s="9"/>
      <c r="N603" s="9"/>
      <c r="O603" s="19"/>
      <c r="P603" s="19"/>
      <c r="R603" s="19"/>
      <c r="S603" s="9"/>
    </row>
    <row r="604" spans="4:19" s="18" customFormat="1" x14ac:dyDescent="0.2">
      <c r="D604" s="9"/>
      <c r="G604" s="9"/>
      <c r="J604" s="9"/>
      <c r="N604" s="9"/>
      <c r="O604" s="19"/>
      <c r="P604" s="19"/>
      <c r="R604" s="19"/>
      <c r="S604" s="9"/>
    </row>
    <row r="605" spans="4:19" s="18" customFormat="1" x14ac:dyDescent="0.2">
      <c r="D605" s="9"/>
      <c r="G605" s="9"/>
      <c r="J605" s="9"/>
      <c r="N605" s="9"/>
      <c r="O605" s="19"/>
      <c r="P605" s="19"/>
      <c r="R605" s="19"/>
      <c r="S605" s="9"/>
    </row>
    <row r="606" spans="4:19" s="18" customFormat="1" x14ac:dyDescent="0.2">
      <c r="D606" s="9"/>
      <c r="G606" s="9"/>
      <c r="J606" s="9"/>
      <c r="N606" s="9"/>
      <c r="O606" s="19"/>
      <c r="P606" s="19"/>
      <c r="R606" s="19"/>
      <c r="S606" s="9"/>
    </row>
    <row r="607" spans="4:19" s="18" customFormat="1" x14ac:dyDescent="0.2">
      <c r="D607" s="9"/>
      <c r="G607" s="9"/>
      <c r="J607" s="9"/>
      <c r="N607" s="9"/>
      <c r="O607" s="19"/>
      <c r="P607" s="19"/>
      <c r="R607" s="19"/>
      <c r="S607" s="9"/>
    </row>
    <row r="608" spans="4:19" s="18" customFormat="1" x14ac:dyDescent="0.2">
      <c r="D608" s="9"/>
      <c r="G608" s="9"/>
      <c r="J608" s="9"/>
      <c r="N608" s="9"/>
      <c r="O608" s="19"/>
      <c r="P608" s="19"/>
      <c r="R608" s="19"/>
      <c r="S608" s="9"/>
    </row>
    <row r="609" spans="4:19" s="18" customFormat="1" x14ac:dyDescent="0.2">
      <c r="D609" s="9"/>
      <c r="G609" s="9"/>
      <c r="J609" s="9"/>
      <c r="N609" s="9"/>
      <c r="O609" s="19"/>
      <c r="P609" s="19"/>
      <c r="R609" s="19"/>
      <c r="S609" s="9"/>
    </row>
    <row r="610" spans="4:19" s="18" customFormat="1" x14ac:dyDescent="0.2">
      <c r="D610" s="9"/>
      <c r="G610" s="9"/>
      <c r="J610" s="9"/>
      <c r="N610" s="9"/>
      <c r="O610" s="19"/>
      <c r="P610" s="19"/>
      <c r="R610" s="19"/>
      <c r="S610" s="9"/>
    </row>
    <row r="611" spans="4:19" s="18" customFormat="1" x14ac:dyDescent="0.2">
      <c r="D611" s="9"/>
      <c r="G611" s="9"/>
      <c r="J611" s="9"/>
      <c r="N611" s="9"/>
      <c r="O611" s="19"/>
      <c r="P611" s="19"/>
      <c r="R611" s="19"/>
      <c r="S611" s="9"/>
    </row>
    <row r="612" spans="4:19" s="18" customFormat="1" x14ac:dyDescent="0.2">
      <c r="D612" s="9"/>
      <c r="G612" s="9"/>
      <c r="J612" s="9"/>
      <c r="N612" s="9"/>
      <c r="O612" s="19"/>
      <c r="P612" s="19"/>
      <c r="R612" s="19"/>
      <c r="S612" s="9"/>
    </row>
    <row r="613" spans="4:19" s="18" customFormat="1" x14ac:dyDescent="0.2">
      <c r="D613" s="9"/>
      <c r="G613" s="9"/>
      <c r="J613" s="9"/>
      <c r="N613" s="9"/>
      <c r="O613" s="19"/>
      <c r="P613" s="19"/>
      <c r="R613" s="19"/>
      <c r="S613" s="9"/>
    </row>
    <row r="614" spans="4:19" s="18" customFormat="1" x14ac:dyDescent="0.2">
      <c r="D614" s="9"/>
      <c r="G614" s="9"/>
      <c r="J614" s="9"/>
      <c r="N614" s="9"/>
      <c r="O614" s="19"/>
      <c r="P614" s="19"/>
      <c r="R614" s="19"/>
      <c r="S614" s="9"/>
    </row>
    <row r="615" spans="4:19" s="18" customFormat="1" x14ac:dyDescent="0.2">
      <c r="D615" s="9"/>
      <c r="G615" s="9"/>
      <c r="J615" s="9"/>
      <c r="N615" s="9"/>
      <c r="O615" s="19"/>
      <c r="P615" s="19"/>
      <c r="R615" s="19"/>
      <c r="S615" s="9"/>
    </row>
    <row r="616" spans="4:19" s="18" customFormat="1" x14ac:dyDescent="0.2">
      <c r="D616" s="9"/>
      <c r="G616" s="9"/>
      <c r="J616" s="9"/>
      <c r="N616" s="9"/>
      <c r="O616" s="19"/>
      <c r="P616" s="19"/>
      <c r="R616" s="19"/>
      <c r="S616" s="9"/>
    </row>
    <row r="617" spans="4:19" s="18" customFormat="1" x14ac:dyDescent="0.2">
      <c r="D617" s="9"/>
      <c r="G617" s="9"/>
      <c r="J617" s="9"/>
      <c r="N617" s="9"/>
      <c r="O617" s="19"/>
      <c r="P617" s="19"/>
      <c r="R617" s="19"/>
      <c r="S617" s="9"/>
    </row>
    <row r="618" spans="4:19" s="18" customFormat="1" x14ac:dyDescent="0.2">
      <c r="D618" s="9"/>
      <c r="G618" s="9"/>
      <c r="J618" s="9"/>
      <c r="N618" s="9"/>
      <c r="O618" s="19"/>
      <c r="P618" s="19"/>
      <c r="R618" s="19"/>
      <c r="S618" s="9"/>
    </row>
    <row r="619" spans="4:19" s="18" customFormat="1" x14ac:dyDescent="0.2">
      <c r="D619" s="9"/>
      <c r="G619" s="9"/>
      <c r="J619" s="9"/>
      <c r="N619" s="9"/>
      <c r="O619" s="19"/>
      <c r="P619" s="19"/>
      <c r="R619" s="19"/>
      <c r="S619" s="9"/>
    </row>
    <row r="620" spans="4:19" s="18" customFormat="1" x14ac:dyDescent="0.2">
      <c r="D620" s="9"/>
      <c r="G620" s="9"/>
      <c r="J620" s="9"/>
      <c r="N620" s="9"/>
      <c r="O620" s="19"/>
      <c r="P620" s="19"/>
      <c r="R620" s="19"/>
      <c r="S620" s="9"/>
    </row>
    <row r="621" spans="4:19" s="18" customFormat="1" x14ac:dyDescent="0.2">
      <c r="D621" s="9"/>
      <c r="G621" s="9"/>
      <c r="J621" s="9"/>
      <c r="N621" s="9"/>
      <c r="O621" s="19"/>
      <c r="P621" s="19"/>
      <c r="R621" s="19"/>
      <c r="S621" s="9"/>
    </row>
    <row r="622" spans="4:19" s="18" customFormat="1" x14ac:dyDescent="0.2">
      <c r="D622" s="9"/>
      <c r="G622" s="9"/>
      <c r="J622" s="9"/>
      <c r="N622" s="9"/>
      <c r="O622" s="19"/>
      <c r="P622" s="19"/>
      <c r="R622" s="19"/>
      <c r="S622" s="9"/>
    </row>
    <row r="623" spans="4:19" s="18" customFormat="1" x14ac:dyDescent="0.2">
      <c r="D623" s="9"/>
      <c r="G623" s="9"/>
      <c r="J623" s="9"/>
      <c r="N623" s="9"/>
      <c r="O623" s="19"/>
      <c r="P623" s="19"/>
      <c r="R623" s="19"/>
      <c r="S623" s="9"/>
    </row>
    <row r="624" spans="4:19" s="18" customFormat="1" x14ac:dyDescent="0.2">
      <c r="D624" s="9"/>
      <c r="G624" s="9"/>
      <c r="J624" s="9"/>
      <c r="N624" s="9"/>
      <c r="O624" s="19"/>
      <c r="P624" s="19"/>
      <c r="R624" s="19"/>
      <c r="S624" s="9"/>
    </row>
    <row r="625" spans="4:19" s="18" customFormat="1" x14ac:dyDescent="0.2">
      <c r="D625" s="9"/>
      <c r="G625" s="9"/>
      <c r="J625" s="9"/>
      <c r="N625" s="9"/>
      <c r="O625" s="19"/>
      <c r="P625" s="19"/>
      <c r="R625" s="19"/>
      <c r="S625" s="9"/>
    </row>
    <row r="626" spans="4:19" s="18" customFormat="1" x14ac:dyDescent="0.2">
      <c r="D626" s="9"/>
      <c r="G626" s="9"/>
      <c r="J626" s="9"/>
      <c r="N626" s="9"/>
      <c r="O626" s="19"/>
      <c r="P626" s="19"/>
      <c r="R626" s="19"/>
      <c r="S626" s="9"/>
    </row>
    <row r="627" spans="4:19" s="18" customFormat="1" x14ac:dyDescent="0.2">
      <c r="D627" s="9"/>
      <c r="G627" s="9"/>
      <c r="J627" s="9"/>
      <c r="N627" s="9"/>
      <c r="O627" s="19"/>
      <c r="P627" s="19"/>
      <c r="R627" s="19"/>
      <c r="S627" s="9"/>
    </row>
    <row r="628" spans="4:19" s="18" customFormat="1" x14ac:dyDescent="0.2">
      <c r="D628" s="9"/>
      <c r="G628" s="9"/>
      <c r="J628" s="9"/>
      <c r="N628" s="9"/>
      <c r="O628" s="19"/>
      <c r="P628" s="19"/>
      <c r="R628" s="19"/>
      <c r="S628" s="9"/>
    </row>
    <row r="629" spans="4:19" s="18" customFormat="1" x14ac:dyDescent="0.2">
      <c r="D629" s="9"/>
      <c r="G629" s="9"/>
      <c r="J629" s="9"/>
      <c r="N629" s="9"/>
      <c r="O629" s="19"/>
      <c r="P629" s="19"/>
      <c r="R629" s="19"/>
      <c r="S629" s="9"/>
    </row>
    <row r="630" spans="4:19" s="18" customFormat="1" x14ac:dyDescent="0.2">
      <c r="D630" s="9"/>
      <c r="G630" s="9"/>
      <c r="J630" s="9"/>
      <c r="N630" s="9"/>
      <c r="O630" s="19"/>
      <c r="P630" s="19"/>
      <c r="R630" s="19"/>
      <c r="S630" s="9"/>
    </row>
    <row r="631" spans="4:19" s="18" customFormat="1" x14ac:dyDescent="0.2">
      <c r="D631" s="9"/>
      <c r="G631" s="9"/>
      <c r="J631" s="9"/>
      <c r="N631" s="9"/>
      <c r="O631" s="19"/>
      <c r="P631" s="19"/>
      <c r="R631" s="19"/>
      <c r="S631" s="9"/>
    </row>
    <row r="632" spans="4:19" s="18" customFormat="1" x14ac:dyDescent="0.2">
      <c r="D632" s="9"/>
      <c r="G632" s="9"/>
      <c r="J632" s="9"/>
      <c r="N632" s="9"/>
      <c r="O632" s="19"/>
      <c r="P632" s="19"/>
      <c r="R632" s="19"/>
      <c r="S632" s="9"/>
    </row>
    <row r="633" spans="4:19" s="18" customFormat="1" x14ac:dyDescent="0.2">
      <c r="D633" s="9"/>
      <c r="G633" s="9"/>
      <c r="J633" s="9"/>
      <c r="N633" s="9"/>
      <c r="O633" s="19"/>
      <c r="P633" s="19"/>
      <c r="R633" s="19"/>
      <c r="S633" s="9"/>
    </row>
    <row r="634" spans="4:19" s="18" customFormat="1" x14ac:dyDescent="0.2">
      <c r="D634" s="9"/>
      <c r="G634" s="9"/>
      <c r="J634" s="9"/>
      <c r="N634" s="9"/>
      <c r="O634" s="19"/>
      <c r="P634" s="19"/>
      <c r="R634" s="19"/>
      <c r="S634" s="9"/>
    </row>
    <row r="635" spans="4:19" s="18" customFormat="1" x14ac:dyDescent="0.2">
      <c r="D635" s="9"/>
      <c r="G635" s="9"/>
      <c r="J635" s="9"/>
      <c r="N635" s="9"/>
      <c r="O635" s="19"/>
      <c r="P635" s="19"/>
      <c r="R635" s="19"/>
      <c r="S635" s="9"/>
    </row>
    <row r="636" spans="4:19" s="18" customFormat="1" x14ac:dyDescent="0.2">
      <c r="D636" s="9"/>
      <c r="G636" s="9"/>
      <c r="J636" s="9"/>
      <c r="N636" s="9"/>
      <c r="O636" s="19"/>
      <c r="P636" s="19"/>
      <c r="R636" s="19"/>
      <c r="S636" s="9"/>
    </row>
    <row r="637" spans="4:19" s="18" customFormat="1" x14ac:dyDescent="0.2">
      <c r="D637" s="9"/>
      <c r="G637" s="9"/>
      <c r="J637" s="9"/>
      <c r="N637" s="9"/>
      <c r="O637" s="19"/>
      <c r="P637" s="19"/>
      <c r="R637" s="19"/>
      <c r="S637" s="9"/>
    </row>
    <row r="638" spans="4:19" s="18" customFormat="1" x14ac:dyDescent="0.2">
      <c r="D638" s="9"/>
      <c r="G638" s="9"/>
      <c r="J638" s="9"/>
      <c r="N638" s="9"/>
      <c r="O638" s="19"/>
      <c r="P638" s="19"/>
      <c r="R638" s="19"/>
      <c r="S638" s="9"/>
    </row>
    <row r="639" spans="4:19" s="18" customFormat="1" x14ac:dyDescent="0.2">
      <c r="D639" s="9"/>
      <c r="G639" s="9"/>
      <c r="J639" s="9"/>
      <c r="N639" s="9"/>
      <c r="O639" s="19"/>
      <c r="P639" s="19"/>
      <c r="R639" s="19"/>
      <c r="S639" s="9"/>
    </row>
    <row r="640" spans="4:19" s="18" customFormat="1" x14ac:dyDescent="0.2">
      <c r="D640" s="9"/>
      <c r="G640" s="9"/>
      <c r="J640" s="9"/>
      <c r="N640" s="9"/>
      <c r="O640" s="19"/>
      <c r="P640" s="19"/>
      <c r="R640" s="19"/>
      <c r="S640" s="9"/>
    </row>
    <row r="641" spans="4:19" s="18" customFormat="1" x14ac:dyDescent="0.2">
      <c r="D641" s="9"/>
      <c r="G641" s="9"/>
      <c r="J641" s="9"/>
      <c r="N641" s="9"/>
      <c r="O641" s="19"/>
      <c r="P641" s="19"/>
      <c r="R641" s="19"/>
      <c r="S641" s="9"/>
    </row>
    <row r="642" spans="4:19" s="18" customFormat="1" x14ac:dyDescent="0.2">
      <c r="D642" s="9"/>
      <c r="G642" s="9"/>
      <c r="J642" s="9"/>
      <c r="N642" s="9"/>
      <c r="O642" s="19"/>
      <c r="P642" s="19"/>
      <c r="R642" s="19"/>
      <c r="S642" s="9"/>
    </row>
    <row r="643" spans="4:19" s="18" customFormat="1" x14ac:dyDescent="0.2">
      <c r="D643" s="9"/>
      <c r="G643" s="9"/>
      <c r="J643" s="9"/>
      <c r="N643" s="9"/>
      <c r="O643" s="19"/>
      <c r="P643" s="19"/>
      <c r="R643" s="19"/>
      <c r="S643" s="9"/>
    </row>
    <row r="644" spans="4:19" s="18" customFormat="1" x14ac:dyDescent="0.2">
      <c r="D644" s="9"/>
      <c r="G644" s="9"/>
      <c r="J644" s="9"/>
      <c r="N644" s="9"/>
      <c r="O644" s="19"/>
      <c r="P644" s="19"/>
      <c r="R644" s="19"/>
      <c r="S644" s="9"/>
    </row>
    <row r="645" spans="4:19" s="18" customFormat="1" x14ac:dyDescent="0.2">
      <c r="D645" s="9"/>
      <c r="G645" s="9"/>
      <c r="J645" s="9"/>
      <c r="N645" s="9"/>
      <c r="O645" s="19"/>
      <c r="P645" s="19"/>
      <c r="R645" s="19"/>
      <c r="S645" s="9"/>
    </row>
    <row r="646" spans="4:19" s="18" customFormat="1" x14ac:dyDescent="0.2">
      <c r="D646" s="9"/>
      <c r="G646" s="9"/>
      <c r="J646" s="9"/>
      <c r="N646" s="9"/>
      <c r="O646" s="19"/>
      <c r="P646" s="19"/>
      <c r="R646" s="19"/>
      <c r="S646" s="9"/>
    </row>
    <row r="647" spans="4:19" s="18" customFormat="1" x14ac:dyDescent="0.2">
      <c r="D647" s="9"/>
      <c r="G647" s="9"/>
      <c r="J647" s="9"/>
      <c r="N647" s="9"/>
      <c r="O647" s="19"/>
      <c r="P647" s="19"/>
      <c r="R647" s="19"/>
      <c r="S647" s="9"/>
    </row>
    <row r="648" spans="4:19" s="18" customFormat="1" x14ac:dyDescent="0.2">
      <c r="D648" s="9"/>
      <c r="G648" s="9"/>
      <c r="J648" s="9"/>
      <c r="N648" s="9"/>
      <c r="O648" s="19"/>
      <c r="P648" s="19"/>
      <c r="R648" s="19"/>
      <c r="S648" s="9"/>
    </row>
    <row r="649" spans="4:19" s="18" customFormat="1" x14ac:dyDescent="0.2">
      <c r="D649" s="9"/>
      <c r="G649" s="9"/>
      <c r="J649" s="9"/>
      <c r="N649" s="9"/>
      <c r="O649" s="19"/>
      <c r="P649" s="19"/>
      <c r="R649" s="19"/>
      <c r="S649" s="9"/>
    </row>
    <row r="650" spans="4:19" s="18" customFormat="1" x14ac:dyDescent="0.2">
      <c r="D650" s="9"/>
      <c r="G650" s="9"/>
      <c r="J650" s="9"/>
      <c r="N650" s="9"/>
      <c r="O650" s="19"/>
      <c r="P650" s="19"/>
      <c r="R650" s="19"/>
      <c r="S650" s="9"/>
    </row>
    <row r="651" spans="4:19" s="18" customFormat="1" x14ac:dyDescent="0.2">
      <c r="D651" s="9"/>
      <c r="G651" s="9"/>
      <c r="J651" s="9"/>
      <c r="N651" s="9"/>
      <c r="O651" s="19"/>
      <c r="P651" s="19"/>
      <c r="R651" s="19"/>
      <c r="S651" s="9"/>
    </row>
    <row r="652" spans="4:19" s="18" customFormat="1" x14ac:dyDescent="0.2">
      <c r="D652" s="9"/>
      <c r="G652" s="9"/>
      <c r="J652" s="9"/>
      <c r="N652" s="9"/>
      <c r="O652" s="19"/>
      <c r="P652" s="19"/>
      <c r="R652" s="19"/>
      <c r="S652" s="9"/>
    </row>
    <row r="653" spans="4:19" s="18" customFormat="1" x14ac:dyDescent="0.2">
      <c r="D653" s="9"/>
      <c r="G653" s="9"/>
      <c r="J653" s="9"/>
      <c r="N653" s="9"/>
      <c r="O653" s="19"/>
      <c r="P653" s="19"/>
      <c r="R653" s="19"/>
      <c r="S653" s="9"/>
    </row>
    <row r="654" spans="4:19" s="18" customFormat="1" x14ac:dyDescent="0.2">
      <c r="D654" s="9"/>
      <c r="G654" s="9"/>
      <c r="J654" s="9"/>
      <c r="N654" s="9"/>
      <c r="O654" s="19"/>
      <c r="P654" s="19"/>
      <c r="R654" s="19"/>
      <c r="S654" s="9"/>
    </row>
    <row r="655" spans="4:19" s="18" customFormat="1" x14ac:dyDescent="0.2">
      <c r="D655" s="9"/>
      <c r="G655" s="9"/>
      <c r="J655" s="9"/>
      <c r="N655" s="9"/>
      <c r="O655" s="19"/>
      <c r="P655" s="19"/>
      <c r="R655" s="19"/>
      <c r="S655" s="9"/>
    </row>
    <row r="656" spans="4:19" s="18" customFormat="1" x14ac:dyDescent="0.2">
      <c r="D656" s="9"/>
      <c r="G656" s="9"/>
      <c r="J656" s="9"/>
      <c r="N656" s="9"/>
      <c r="O656" s="19"/>
      <c r="P656" s="19"/>
      <c r="R656" s="19"/>
      <c r="S656" s="9"/>
    </row>
    <row r="657" spans="4:19" s="18" customFormat="1" x14ac:dyDescent="0.2">
      <c r="D657" s="9"/>
      <c r="G657" s="9"/>
      <c r="J657" s="9"/>
      <c r="N657" s="9"/>
      <c r="O657" s="19"/>
      <c r="P657" s="19"/>
      <c r="R657" s="19"/>
      <c r="S657" s="9"/>
    </row>
    <row r="658" spans="4:19" s="18" customFormat="1" x14ac:dyDescent="0.2">
      <c r="D658" s="9"/>
      <c r="G658" s="9"/>
      <c r="J658" s="9"/>
      <c r="N658" s="9"/>
      <c r="O658" s="19"/>
      <c r="P658" s="19"/>
      <c r="R658" s="19"/>
      <c r="S658" s="9"/>
    </row>
    <row r="659" spans="4:19" s="18" customFormat="1" x14ac:dyDescent="0.2">
      <c r="D659" s="9"/>
      <c r="G659" s="9"/>
      <c r="J659" s="9"/>
      <c r="N659" s="9"/>
      <c r="O659" s="19"/>
      <c r="P659" s="19"/>
      <c r="R659" s="19"/>
      <c r="S659" s="9"/>
    </row>
    <row r="660" spans="4:19" s="18" customFormat="1" x14ac:dyDescent="0.2">
      <c r="D660" s="9"/>
      <c r="G660" s="9"/>
      <c r="J660" s="9"/>
      <c r="N660" s="9"/>
      <c r="O660" s="19"/>
      <c r="P660" s="19"/>
      <c r="R660" s="19"/>
      <c r="S660" s="9"/>
    </row>
    <row r="661" spans="4:19" s="18" customFormat="1" x14ac:dyDescent="0.2">
      <c r="D661" s="9"/>
      <c r="G661" s="9"/>
      <c r="J661" s="9"/>
      <c r="N661" s="9"/>
      <c r="O661" s="19"/>
      <c r="P661" s="19"/>
      <c r="R661" s="19"/>
      <c r="S661" s="9"/>
    </row>
    <row r="662" spans="4:19" s="18" customFormat="1" x14ac:dyDescent="0.2">
      <c r="D662" s="9"/>
      <c r="G662" s="9"/>
      <c r="J662" s="9"/>
      <c r="N662" s="9"/>
      <c r="O662" s="19"/>
      <c r="P662" s="19"/>
      <c r="R662" s="19"/>
      <c r="S662" s="9"/>
    </row>
    <row r="663" spans="4:19" s="18" customFormat="1" x14ac:dyDescent="0.2">
      <c r="D663" s="9"/>
      <c r="G663" s="9"/>
      <c r="J663" s="9"/>
      <c r="N663" s="9"/>
      <c r="O663" s="19"/>
      <c r="P663" s="19"/>
      <c r="R663" s="19"/>
      <c r="S663" s="9"/>
    </row>
    <row r="664" spans="4:19" s="18" customFormat="1" x14ac:dyDescent="0.2">
      <c r="D664" s="9"/>
      <c r="G664" s="9"/>
      <c r="J664" s="9"/>
      <c r="N664" s="9"/>
      <c r="O664" s="19"/>
      <c r="P664" s="19"/>
      <c r="R664" s="19"/>
      <c r="S664" s="9"/>
    </row>
    <row r="665" spans="4:19" s="18" customFormat="1" x14ac:dyDescent="0.2">
      <c r="D665" s="9"/>
      <c r="G665" s="9"/>
      <c r="J665" s="9"/>
      <c r="N665" s="9"/>
      <c r="O665" s="19"/>
      <c r="P665" s="19"/>
      <c r="R665" s="19"/>
      <c r="S665" s="9"/>
    </row>
    <row r="666" spans="4:19" s="18" customFormat="1" x14ac:dyDescent="0.2">
      <c r="D666" s="9"/>
      <c r="G666" s="9"/>
      <c r="J666" s="9"/>
      <c r="N666" s="9"/>
      <c r="O666" s="19"/>
      <c r="P666" s="19"/>
      <c r="R666" s="19"/>
      <c r="S666" s="9"/>
    </row>
    <row r="667" spans="4:19" s="18" customFormat="1" x14ac:dyDescent="0.2">
      <c r="D667" s="9"/>
      <c r="G667" s="9"/>
      <c r="J667" s="9"/>
      <c r="N667" s="9"/>
      <c r="O667" s="19"/>
      <c r="P667" s="19"/>
      <c r="R667" s="19"/>
      <c r="S667" s="9"/>
    </row>
    <row r="668" spans="4:19" s="18" customFormat="1" x14ac:dyDescent="0.2">
      <c r="D668" s="9"/>
      <c r="G668" s="9"/>
      <c r="J668" s="9"/>
      <c r="N668" s="9"/>
      <c r="O668" s="19"/>
      <c r="P668" s="19"/>
      <c r="R668" s="19"/>
      <c r="S668" s="9"/>
    </row>
    <row r="669" spans="4:19" s="18" customFormat="1" x14ac:dyDescent="0.2">
      <c r="D669" s="9"/>
      <c r="G669" s="9"/>
      <c r="J669" s="9"/>
      <c r="N669" s="9"/>
      <c r="O669" s="19"/>
      <c r="P669" s="19"/>
      <c r="R669" s="19"/>
      <c r="S669" s="9"/>
    </row>
    <row r="670" spans="4:19" s="18" customFormat="1" x14ac:dyDescent="0.2">
      <c r="D670" s="9"/>
      <c r="G670" s="9"/>
      <c r="J670" s="9"/>
      <c r="N670" s="9"/>
      <c r="O670" s="19"/>
      <c r="P670" s="19"/>
      <c r="R670" s="19"/>
      <c r="S670" s="9"/>
    </row>
    <row r="671" spans="4:19" s="18" customFormat="1" x14ac:dyDescent="0.2">
      <c r="D671" s="9"/>
      <c r="G671" s="9"/>
      <c r="J671" s="9"/>
      <c r="N671" s="9"/>
      <c r="O671" s="19"/>
      <c r="P671" s="19"/>
      <c r="R671" s="19"/>
      <c r="S671" s="9"/>
    </row>
    <row r="672" spans="4:19" s="18" customFormat="1" x14ac:dyDescent="0.2">
      <c r="D672" s="9"/>
      <c r="G672" s="9"/>
      <c r="J672" s="9"/>
      <c r="N672" s="9"/>
      <c r="O672" s="19"/>
      <c r="P672" s="19"/>
      <c r="R672" s="19"/>
      <c r="S672" s="9"/>
    </row>
    <row r="673" spans="4:19" s="18" customFormat="1" x14ac:dyDescent="0.2">
      <c r="D673" s="9"/>
      <c r="G673" s="9"/>
      <c r="J673" s="9"/>
      <c r="N673" s="9"/>
      <c r="O673" s="19"/>
      <c r="P673" s="19"/>
      <c r="R673" s="19"/>
      <c r="S673" s="9"/>
    </row>
    <row r="674" spans="4:19" s="18" customFormat="1" x14ac:dyDescent="0.2">
      <c r="D674" s="9"/>
      <c r="G674" s="9"/>
      <c r="J674" s="9"/>
      <c r="N674" s="9"/>
      <c r="O674" s="19"/>
      <c r="P674" s="19"/>
      <c r="R674" s="19"/>
      <c r="S674" s="9"/>
    </row>
    <row r="675" spans="4:19" s="18" customFormat="1" x14ac:dyDescent="0.2">
      <c r="D675" s="9"/>
      <c r="G675" s="9"/>
      <c r="J675" s="9"/>
      <c r="N675" s="9"/>
      <c r="O675" s="19"/>
      <c r="P675" s="19"/>
      <c r="R675" s="19"/>
      <c r="S675" s="9"/>
    </row>
    <row r="676" spans="4:19" s="18" customFormat="1" x14ac:dyDescent="0.2">
      <c r="D676" s="9"/>
      <c r="G676" s="9"/>
      <c r="J676" s="9"/>
      <c r="N676" s="9"/>
      <c r="O676" s="19"/>
      <c r="P676" s="19"/>
      <c r="R676" s="19"/>
      <c r="S676" s="9"/>
    </row>
    <row r="677" spans="4:19" s="18" customFormat="1" x14ac:dyDescent="0.2">
      <c r="D677" s="9"/>
      <c r="G677" s="9"/>
      <c r="J677" s="9"/>
      <c r="N677" s="9"/>
      <c r="O677" s="19"/>
      <c r="P677" s="19"/>
      <c r="R677" s="19"/>
      <c r="S677" s="9"/>
    </row>
    <row r="678" spans="4:19" s="18" customFormat="1" x14ac:dyDescent="0.2">
      <c r="D678" s="9"/>
      <c r="G678" s="9"/>
      <c r="J678" s="9"/>
      <c r="N678" s="9"/>
      <c r="O678" s="19"/>
      <c r="P678" s="19"/>
      <c r="R678" s="19"/>
      <c r="S678" s="9"/>
    </row>
    <row r="679" spans="4:19" s="18" customFormat="1" x14ac:dyDescent="0.2">
      <c r="D679" s="9"/>
      <c r="G679" s="9"/>
      <c r="J679" s="9"/>
      <c r="N679" s="9"/>
      <c r="O679" s="19"/>
      <c r="P679" s="19"/>
      <c r="R679" s="19"/>
      <c r="S679" s="9"/>
    </row>
    <row r="680" spans="4:19" s="18" customFormat="1" x14ac:dyDescent="0.2">
      <c r="D680" s="9"/>
      <c r="G680" s="9"/>
      <c r="J680" s="9"/>
      <c r="N680" s="9"/>
      <c r="O680" s="19"/>
      <c r="P680" s="19"/>
      <c r="R680" s="19"/>
      <c r="S680" s="9"/>
    </row>
    <row r="681" spans="4:19" s="18" customFormat="1" x14ac:dyDescent="0.2">
      <c r="D681" s="9"/>
      <c r="G681" s="9"/>
      <c r="J681" s="9"/>
      <c r="N681" s="9"/>
      <c r="O681" s="19"/>
      <c r="P681" s="19"/>
      <c r="R681" s="19"/>
      <c r="S681" s="9"/>
    </row>
    <row r="682" spans="4:19" s="18" customFormat="1" x14ac:dyDescent="0.2">
      <c r="D682" s="9"/>
      <c r="G682" s="9"/>
      <c r="J682" s="9"/>
      <c r="N682" s="9"/>
      <c r="O682" s="19"/>
      <c r="P682" s="19"/>
      <c r="R682" s="19"/>
      <c r="S682" s="9"/>
    </row>
    <row r="683" spans="4:19" s="18" customFormat="1" x14ac:dyDescent="0.2">
      <c r="D683" s="9"/>
      <c r="G683" s="9"/>
      <c r="J683" s="9"/>
      <c r="N683" s="9"/>
      <c r="O683" s="19"/>
      <c r="P683" s="19"/>
      <c r="R683" s="19"/>
      <c r="S683" s="9"/>
    </row>
    <row r="684" spans="4:19" s="18" customFormat="1" x14ac:dyDescent="0.2">
      <c r="D684" s="9"/>
      <c r="G684" s="9"/>
      <c r="J684" s="9"/>
      <c r="N684" s="9"/>
      <c r="O684" s="19"/>
      <c r="P684" s="19"/>
      <c r="R684" s="19"/>
      <c r="S684" s="9"/>
    </row>
    <row r="685" spans="4:19" s="18" customFormat="1" x14ac:dyDescent="0.2">
      <c r="D685" s="9"/>
      <c r="G685" s="9"/>
      <c r="J685" s="9"/>
      <c r="N685" s="9"/>
      <c r="O685" s="19"/>
      <c r="P685" s="19"/>
      <c r="R685" s="19"/>
      <c r="S685" s="9"/>
    </row>
    <row r="686" spans="4:19" s="18" customFormat="1" x14ac:dyDescent="0.2">
      <c r="D686" s="9"/>
      <c r="G686" s="9"/>
      <c r="J686" s="9"/>
      <c r="N686" s="9"/>
      <c r="O686" s="19"/>
      <c r="P686" s="19"/>
      <c r="R686" s="19"/>
      <c r="S686" s="9"/>
    </row>
    <row r="687" spans="4:19" s="18" customFormat="1" x14ac:dyDescent="0.2">
      <c r="D687" s="9"/>
      <c r="G687" s="9"/>
      <c r="J687" s="9"/>
      <c r="N687" s="9"/>
      <c r="O687" s="19"/>
      <c r="P687" s="19"/>
      <c r="R687" s="19"/>
      <c r="S687" s="9"/>
    </row>
    <row r="688" spans="4:19" s="18" customFormat="1" x14ac:dyDescent="0.2">
      <c r="D688" s="9"/>
      <c r="G688" s="9"/>
      <c r="J688" s="9"/>
      <c r="N688" s="9"/>
      <c r="O688" s="19"/>
      <c r="P688" s="19"/>
      <c r="R688" s="19"/>
      <c r="S688" s="9"/>
    </row>
    <row r="689" spans="4:19" s="18" customFormat="1" x14ac:dyDescent="0.2">
      <c r="D689" s="9"/>
      <c r="G689" s="9"/>
      <c r="J689" s="9"/>
      <c r="N689" s="9"/>
      <c r="O689" s="19"/>
      <c r="P689" s="19"/>
      <c r="R689" s="19"/>
      <c r="S689" s="9"/>
    </row>
    <row r="690" spans="4:19" s="18" customFormat="1" x14ac:dyDescent="0.2">
      <c r="D690" s="9"/>
      <c r="G690" s="9"/>
      <c r="J690" s="9"/>
      <c r="N690" s="9"/>
      <c r="O690" s="19"/>
      <c r="P690" s="19"/>
      <c r="R690" s="19"/>
      <c r="S690" s="9"/>
    </row>
    <row r="691" spans="4:19" s="18" customFormat="1" x14ac:dyDescent="0.2">
      <c r="D691" s="9"/>
      <c r="G691" s="9"/>
      <c r="J691" s="9"/>
      <c r="N691" s="9"/>
      <c r="O691" s="19"/>
      <c r="P691" s="19"/>
      <c r="R691" s="19"/>
      <c r="S691" s="9"/>
    </row>
    <row r="692" spans="4:19" s="18" customFormat="1" x14ac:dyDescent="0.2">
      <c r="D692" s="9"/>
      <c r="G692" s="9"/>
      <c r="J692" s="9"/>
      <c r="N692" s="9"/>
      <c r="O692" s="19"/>
      <c r="P692" s="19"/>
      <c r="R692" s="19"/>
      <c r="S692" s="9"/>
    </row>
    <row r="693" spans="4:19" s="18" customFormat="1" x14ac:dyDescent="0.2">
      <c r="D693" s="9"/>
      <c r="G693" s="9"/>
      <c r="J693" s="9"/>
      <c r="N693" s="9"/>
      <c r="O693" s="19"/>
      <c r="P693" s="19"/>
      <c r="R693" s="19"/>
      <c r="S693" s="9"/>
    </row>
    <row r="694" spans="4:19" s="18" customFormat="1" x14ac:dyDescent="0.2">
      <c r="D694" s="9"/>
      <c r="G694" s="9"/>
      <c r="J694" s="9"/>
      <c r="N694" s="9"/>
      <c r="O694" s="19"/>
      <c r="P694" s="19"/>
      <c r="R694" s="19"/>
      <c r="S694" s="9"/>
    </row>
    <row r="695" spans="4:19" s="18" customFormat="1" x14ac:dyDescent="0.2">
      <c r="D695" s="9"/>
      <c r="G695" s="9"/>
      <c r="J695" s="9"/>
      <c r="N695" s="9"/>
      <c r="O695" s="19"/>
      <c r="P695" s="19"/>
      <c r="R695" s="19"/>
      <c r="S695" s="9"/>
    </row>
    <row r="696" spans="4:19" s="18" customFormat="1" x14ac:dyDescent="0.2">
      <c r="D696" s="9"/>
      <c r="G696" s="9"/>
      <c r="J696" s="9"/>
      <c r="N696" s="9"/>
      <c r="O696" s="19"/>
      <c r="P696" s="19"/>
      <c r="R696" s="19"/>
      <c r="S696" s="9"/>
    </row>
    <row r="697" spans="4:19" s="18" customFormat="1" x14ac:dyDescent="0.2">
      <c r="D697" s="9"/>
      <c r="G697" s="9"/>
      <c r="J697" s="9"/>
      <c r="N697" s="9"/>
      <c r="O697" s="19"/>
      <c r="P697" s="19"/>
      <c r="R697" s="19"/>
      <c r="S697" s="9"/>
    </row>
    <row r="698" spans="4:19" s="18" customFormat="1" x14ac:dyDescent="0.2">
      <c r="D698" s="9"/>
      <c r="G698" s="9"/>
      <c r="J698" s="9"/>
      <c r="N698" s="9"/>
      <c r="O698" s="19"/>
      <c r="P698" s="19"/>
      <c r="R698" s="19"/>
      <c r="S698" s="9"/>
    </row>
    <row r="699" spans="4:19" s="18" customFormat="1" x14ac:dyDescent="0.2">
      <c r="D699" s="9"/>
      <c r="G699" s="9"/>
      <c r="J699" s="9"/>
      <c r="N699" s="9"/>
      <c r="O699" s="19"/>
      <c r="P699" s="19"/>
      <c r="R699" s="19"/>
      <c r="S699" s="9"/>
    </row>
    <row r="700" spans="4:19" s="18" customFormat="1" x14ac:dyDescent="0.2">
      <c r="D700" s="9"/>
      <c r="G700" s="9"/>
      <c r="J700" s="9"/>
      <c r="N700" s="9"/>
      <c r="O700" s="19"/>
      <c r="P700" s="19"/>
      <c r="R700" s="19"/>
      <c r="S700" s="9"/>
    </row>
    <row r="701" spans="4:19" s="18" customFormat="1" x14ac:dyDescent="0.2">
      <c r="D701" s="9"/>
      <c r="G701" s="9"/>
      <c r="J701" s="9"/>
      <c r="N701" s="9"/>
      <c r="O701" s="19"/>
      <c r="P701" s="19"/>
      <c r="R701" s="19"/>
      <c r="S701" s="9"/>
    </row>
    <row r="702" spans="4:19" s="18" customFormat="1" x14ac:dyDescent="0.2">
      <c r="D702" s="9"/>
      <c r="G702" s="9"/>
      <c r="J702" s="9"/>
      <c r="N702" s="9"/>
      <c r="O702" s="19"/>
      <c r="P702" s="19"/>
      <c r="R702" s="19"/>
      <c r="S702" s="9"/>
    </row>
    <row r="703" spans="4:19" s="18" customFormat="1" x14ac:dyDescent="0.2">
      <c r="D703" s="9"/>
      <c r="G703" s="9"/>
      <c r="J703" s="9"/>
      <c r="N703" s="9"/>
      <c r="O703" s="19"/>
      <c r="P703" s="19"/>
      <c r="R703" s="19"/>
      <c r="S703" s="9"/>
    </row>
    <row r="704" spans="4:19" s="18" customFormat="1" x14ac:dyDescent="0.2">
      <c r="D704" s="9"/>
      <c r="G704" s="9"/>
      <c r="J704" s="9"/>
      <c r="N704" s="9"/>
      <c r="O704" s="19"/>
      <c r="P704" s="19"/>
      <c r="R704" s="19"/>
      <c r="S704" s="9"/>
    </row>
    <row r="705" spans="4:19" s="18" customFormat="1" x14ac:dyDescent="0.2">
      <c r="D705" s="9"/>
      <c r="G705" s="9"/>
      <c r="J705" s="9"/>
      <c r="N705" s="9"/>
      <c r="O705" s="19"/>
      <c r="P705" s="19"/>
      <c r="R705" s="19"/>
      <c r="S705" s="9"/>
    </row>
    <row r="706" spans="4:19" s="18" customFormat="1" x14ac:dyDescent="0.2">
      <c r="D706" s="9"/>
      <c r="G706" s="9"/>
      <c r="J706" s="9"/>
      <c r="N706" s="9"/>
      <c r="O706" s="19"/>
      <c r="P706" s="19"/>
      <c r="R706" s="19"/>
      <c r="S706" s="9"/>
    </row>
    <row r="707" spans="4:19" s="18" customFormat="1" x14ac:dyDescent="0.2">
      <c r="D707" s="9"/>
      <c r="G707" s="9"/>
      <c r="J707" s="9"/>
      <c r="N707" s="9"/>
      <c r="O707" s="19"/>
      <c r="P707" s="19"/>
      <c r="R707" s="19"/>
      <c r="S707" s="9"/>
    </row>
    <row r="708" spans="4:19" s="18" customFormat="1" x14ac:dyDescent="0.2">
      <c r="D708" s="9"/>
      <c r="G708" s="9"/>
      <c r="J708" s="9"/>
      <c r="N708" s="9"/>
      <c r="O708" s="19"/>
      <c r="P708" s="19"/>
      <c r="R708" s="19"/>
      <c r="S708" s="9"/>
    </row>
    <row r="709" spans="4:19" s="18" customFormat="1" x14ac:dyDescent="0.2">
      <c r="D709" s="9"/>
      <c r="G709" s="9"/>
      <c r="J709" s="9"/>
      <c r="N709" s="9"/>
      <c r="O709" s="19"/>
      <c r="P709" s="19"/>
      <c r="R709" s="19"/>
      <c r="S709" s="9"/>
    </row>
    <row r="710" spans="4:19" s="18" customFormat="1" x14ac:dyDescent="0.2">
      <c r="D710" s="9"/>
      <c r="G710" s="9"/>
      <c r="J710" s="9"/>
      <c r="N710" s="9"/>
      <c r="O710" s="19"/>
      <c r="P710" s="19"/>
      <c r="R710" s="19"/>
      <c r="S710" s="9"/>
    </row>
    <row r="711" spans="4:19" s="18" customFormat="1" x14ac:dyDescent="0.2">
      <c r="D711" s="9"/>
      <c r="G711" s="9"/>
      <c r="J711" s="9"/>
      <c r="N711" s="9"/>
      <c r="O711" s="19"/>
      <c r="P711" s="19"/>
      <c r="R711" s="19"/>
      <c r="S711" s="9"/>
    </row>
    <row r="712" spans="4:19" s="18" customFormat="1" x14ac:dyDescent="0.2">
      <c r="D712" s="9"/>
      <c r="G712" s="9"/>
      <c r="J712" s="9"/>
      <c r="N712" s="9"/>
      <c r="O712" s="19"/>
      <c r="P712" s="19"/>
      <c r="R712" s="19"/>
      <c r="S712" s="9"/>
    </row>
    <row r="713" spans="4:19" s="18" customFormat="1" x14ac:dyDescent="0.2">
      <c r="D713" s="9"/>
      <c r="G713" s="9"/>
      <c r="J713" s="9"/>
      <c r="N713" s="9"/>
      <c r="O713" s="19"/>
      <c r="P713" s="19"/>
      <c r="R713" s="19"/>
      <c r="S713" s="9"/>
    </row>
    <row r="714" spans="4:19" s="18" customFormat="1" x14ac:dyDescent="0.2">
      <c r="D714" s="9"/>
      <c r="G714" s="9"/>
      <c r="J714" s="9"/>
      <c r="N714" s="9"/>
      <c r="O714" s="19"/>
      <c r="P714" s="19"/>
      <c r="R714" s="19"/>
      <c r="S714" s="9"/>
    </row>
    <row r="715" spans="4:19" s="18" customFormat="1" x14ac:dyDescent="0.2">
      <c r="D715" s="9"/>
      <c r="G715" s="9"/>
      <c r="J715" s="9"/>
      <c r="N715" s="9"/>
      <c r="O715" s="19"/>
      <c r="P715" s="19"/>
      <c r="R715" s="19"/>
      <c r="S715" s="9"/>
    </row>
    <row r="716" spans="4:19" s="18" customFormat="1" x14ac:dyDescent="0.2">
      <c r="D716" s="9"/>
      <c r="G716" s="9"/>
      <c r="J716" s="9"/>
      <c r="N716" s="9"/>
      <c r="O716" s="19"/>
      <c r="P716" s="19"/>
      <c r="R716" s="19"/>
      <c r="S716" s="9"/>
    </row>
    <row r="717" spans="4:19" s="18" customFormat="1" x14ac:dyDescent="0.2">
      <c r="D717" s="9"/>
      <c r="G717" s="9"/>
      <c r="J717" s="9"/>
      <c r="N717" s="9"/>
      <c r="O717" s="19"/>
      <c r="P717" s="19"/>
      <c r="R717" s="19"/>
      <c r="S717" s="9"/>
    </row>
    <row r="718" spans="4:19" s="18" customFormat="1" x14ac:dyDescent="0.2">
      <c r="D718" s="9"/>
      <c r="G718" s="9"/>
      <c r="J718" s="9"/>
      <c r="N718" s="9"/>
      <c r="O718" s="19"/>
      <c r="P718" s="19"/>
      <c r="R718" s="19"/>
      <c r="S718" s="9"/>
    </row>
    <row r="719" spans="4:19" s="18" customFormat="1" x14ac:dyDescent="0.2">
      <c r="D719" s="9"/>
      <c r="G719" s="9"/>
      <c r="J719" s="9"/>
      <c r="N719" s="9"/>
      <c r="O719" s="19"/>
      <c r="P719" s="19"/>
      <c r="R719" s="19"/>
      <c r="S719" s="9"/>
    </row>
    <row r="720" spans="4:19" s="18" customFormat="1" x14ac:dyDescent="0.2">
      <c r="D720" s="9"/>
      <c r="G720" s="9"/>
      <c r="J720" s="9"/>
      <c r="N720" s="9"/>
      <c r="O720" s="19"/>
      <c r="P720" s="19"/>
      <c r="R720" s="19"/>
      <c r="S720" s="9"/>
    </row>
    <row r="721" spans="4:19" s="18" customFormat="1" x14ac:dyDescent="0.2">
      <c r="D721" s="9"/>
      <c r="G721" s="9"/>
      <c r="J721" s="9"/>
      <c r="N721" s="9"/>
      <c r="O721" s="19"/>
      <c r="P721" s="19"/>
      <c r="R721" s="19"/>
      <c r="S721" s="9"/>
    </row>
    <row r="722" spans="4:19" s="18" customFormat="1" x14ac:dyDescent="0.2">
      <c r="D722" s="9"/>
      <c r="G722" s="9"/>
      <c r="J722" s="9"/>
      <c r="N722" s="9"/>
      <c r="O722" s="19"/>
      <c r="P722" s="19"/>
      <c r="R722" s="19"/>
      <c r="S722" s="9"/>
    </row>
    <row r="723" spans="4:19" s="18" customFormat="1" x14ac:dyDescent="0.2">
      <c r="D723" s="9"/>
      <c r="G723" s="9"/>
      <c r="J723" s="9"/>
      <c r="N723" s="9"/>
      <c r="O723" s="19"/>
      <c r="P723" s="19"/>
      <c r="R723" s="19"/>
      <c r="S723" s="9"/>
    </row>
    <row r="724" spans="4:19" s="18" customFormat="1" x14ac:dyDescent="0.2">
      <c r="D724" s="9"/>
      <c r="G724" s="9"/>
      <c r="J724" s="9"/>
      <c r="N724" s="9"/>
      <c r="O724" s="19"/>
      <c r="P724" s="19"/>
      <c r="R724" s="19"/>
      <c r="S724" s="9"/>
    </row>
    <row r="725" spans="4:19" s="18" customFormat="1" x14ac:dyDescent="0.2">
      <c r="D725" s="9"/>
      <c r="G725" s="9"/>
      <c r="J725" s="9"/>
      <c r="N725" s="9"/>
      <c r="O725" s="19"/>
      <c r="P725" s="19"/>
      <c r="R725" s="19"/>
      <c r="S725" s="9"/>
    </row>
    <row r="726" spans="4:19" s="18" customFormat="1" x14ac:dyDescent="0.2">
      <c r="D726" s="9"/>
      <c r="G726" s="9"/>
      <c r="J726" s="9"/>
      <c r="N726" s="9"/>
      <c r="O726" s="19"/>
      <c r="P726" s="19"/>
      <c r="R726" s="19"/>
      <c r="S726" s="9"/>
    </row>
    <row r="727" spans="4:19" s="18" customFormat="1" x14ac:dyDescent="0.2">
      <c r="D727" s="9"/>
      <c r="G727" s="9"/>
      <c r="J727" s="9"/>
      <c r="N727" s="9"/>
      <c r="O727" s="19"/>
      <c r="P727" s="19"/>
      <c r="R727" s="19"/>
      <c r="S727" s="9"/>
    </row>
    <row r="728" spans="4:19" s="18" customFormat="1" x14ac:dyDescent="0.2">
      <c r="D728" s="9"/>
      <c r="G728" s="9"/>
      <c r="J728" s="9"/>
      <c r="N728" s="9"/>
      <c r="O728" s="19"/>
      <c r="P728" s="19"/>
      <c r="R728" s="19"/>
      <c r="S728" s="9"/>
    </row>
    <row r="729" spans="4:19" s="18" customFormat="1" x14ac:dyDescent="0.2">
      <c r="D729" s="9"/>
      <c r="G729" s="9"/>
      <c r="J729" s="9"/>
      <c r="N729" s="9"/>
      <c r="O729" s="19"/>
      <c r="P729" s="19"/>
      <c r="R729" s="19"/>
      <c r="S729" s="9"/>
    </row>
    <row r="730" spans="4:19" s="18" customFormat="1" x14ac:dyDescent="0.2">
      <c r="D730" s="9"/>
      <c r="G730" s="9"/>
      <c r="J730" s="9"/>
      <c r="N730" s="9"/>
      <c r="O730" s="19"/>
      <c r="P730" s="19"/>
      <c r="R730" s="19"/>
      <c r="S730" s="9"/>
    </row>
    <row r="731" spans="4:19" s="18" customFormat="1" x14ac:dyDescent="0.2">
      <c r="D731" s="9"/>
      <c r="G731" s="9"/>
      <c r="J731" s="9"/>
      <c r="N731" s="9"/>
      <c r="O731" s="19"/>
      <c r="P731" s="19"/>
      <c r="R731" s="19"/>
      <c r="S731" s="9"/>
    </row>
    <row r="732" spans="4:19" s="18" customFormat="1" x14ac:dyDescent="0.2">
      <c r="D732" s="9"/>
      <c r="G732" s="9"/>
      <c r="J732" s="9"/>
      <c r="N732" s="9"/>
      <c r="O732" s="19"/>
      <c r="P732" s="19"/>
      <c r="R732" s="19"/>
      <c r="S732" s="9"/>
    </row>
    <row r="733" spans="4:19" s="18" customFormat="1" x14ac:dyDescent="0.2">
      <c r="D733" s="9"/>
      <c r="G733" s="9"/>
      <c r="J733" s="9"/>
      <c r="N733" s="9"/>
      <c r="O733" s="19"/>
      <c r="P733" s="19"/>
      <c r="R733" s="19"/>
      <c r="S733" s="9"/>
    </row>
    <row r="734" spans="4:19" s="18" customFormat="1" x14ac:dyDescent="0.2">
      <c r="D734" s="9"/>
      <c r="G734" s="9"/>
      <c r="J734" s="9"/>
      <c r="N734" s="9"/>
      <c r="O734" s="19"/>
      <c r="P734" s="19"/>
      <c r="R734" s="19"/>
      <c r="S734" s="9"/>
    </row>
    <row r="735" spans="4:19" s="18" customFormat="1" x14ac:dyDescent="0.2">
      <c r="D735" s="9"/>
      <c r="G735" s="9"/>
      <c r="J735" s="9"/>
      <c r="N735" s="9"/>
      <c r="O735" s="19"/>
      <c r="P735" s="19"/>
      <c r="R735" s="19"/>
      <c r="S735" s="9"/>
    </row>
    <row r="736" spans="4:19" s="18" customFormat="1" x14ac:dyDescent="0.2">
      <c r="D736" s="9"/>
      <c r="G736" s="9"/>
      <c r="J736" s="9"/>
      <c r="N736" s="9"/>
      <c r="O736" s="19"/>
      <c r="P736" s="19"/>
      <c r="R736" s="19"/>
      <c r="S736" s="9"/>
    </row>
    <row r="737" spans="4:19" s="18" customFormat="1" x14ac:dyDescent="0.2">
      <c r="D737" s="9"/>
      <c r="G737" s="9"/>
      <c r="J737" s="9"/>
      <c r="N737" s="9"/>
      <c r="O737" s="19"/>
      <c r="P737" s="19"/>
      <c r="R737" s="19"/>
      <c r="S737" s="9"/>
    </row>
    <row r="738" spans="4:19" s="18" customFormat="1" x14ac:dyDescent="0.2">
      <c r="D738" s="9"/>
      <c r="G738" s="9"/>
      <c r="J738" s="9"/>
      <c r="N738" s="9"/>
      <c r="O738" s="19"/>
      <c r="P738" s="19"/>
      <c r="R738" s="19"/>
      <c r="S738" s="9"/>
    </row>
    <row r="739" spans="4:19" s="18" customFormat="1" x14ac:dyDescent="0.2">
      <c r="D739" s="9"/>
      <c r="G739" s="9"/>
      <c r="J739" s="9"/>
      <c r="N739" s="9"/>
      <c r="O739" s="19"/>
      <c r="P739" s="19"/>
      <c r="R739" s="19"/>
      <c r="S739" s="9"/>
    </row>
    <row r="740" spans="4:19" s="18" customFormat="1" x14ac:dyDescent="0.2">
      <c r="D740" s="9"/>
      <c r="G740" s="9"/>
      <c r="J740" s="9"/>
      <c r="N740" s="9"/>
      <c r="O740" s="19"/>
      <c r="P740" s="19"/>
      <c r="R740" s="19"/>
      <c r="S740" s="9"/>
    </row>
    <row r="741" spans="4:19" s="18" customFormat="1" x14ac:dyDescent="0.2">
      <c r="D741" s="9"/>
      <c r="G741" s="9"/>
      <c r="J741" s="9"/>
      <c r="N741" s="9"/>
      <c r="O741" s="19"/>
      <c r="P741" s="19"/>
      <c r="R741" s="19"/>
      <c r="S741" s="9"/>
    </row>
    <row r="742" spans="4:19" s="18" customFormat="1" x14ac:dyDescent="0.2">
      <c r="D742" s="9"/>
      <c r="G742" s="9"/>
      <c r="J742" s="9"/>
      <c r="N742" s="9"/>
      <c r="O742" s="19"/>
      <c r="P742" s="19"/>
      <c r="R742" s="19"/>
      <c r="S742" s="9"/>
    </row>
    <row r="743" spans="4:19" s="18" customFormat="1" x14ac:dyDescent="0.2">
      <c r="D743" s="9"/>
      <c r="G743" s="9"/>
      <c r="J743" s="9"/>
      <c r="N743" s="9"/>
      <c r="O743" s="19"/>
      <c r="P743" s="19"/>
      <c r="R743" s="19"/>
      <c r="S743" s="9"/>
    </row>
    <row r="744" spans="4:19" s="18" customFormat="1" x14ac:dyDescent="0.2">
      <c r="D744" s="9"/>
      <c r="G744" s="9"/>
      <c r="J744" s="9"/>
      <c r="N744" s="9"/>
      <c r="O744" s="19"/>
      <c r="P744" s="19"/>
      <c r="R744" s="19"/>
      <c r="S744" s="9"/>
    </row>
    <row r="745" spans="4:19" s="18" customFormat="1" x14ac:dyDescent="0.2">
      <c r="D745" s="9"/>
      <c r="G745" s="9"/>
      <c r="J745" s="9"/>
      <c r="N745" s="9"/>
      <c r="O745" s="19"/>
      <c r="P745" s="19"/>
      <c r="R745" s="19"/>
      <c r="S745" s="9"/>
    </row>
    <row r="746" spans="4:19" s="18" customFormat="1" x14ac:dyDescent="0.2">
      <c r="D746" s="9"/>
      <c r="G746" s="9"/>
      <c r="J746" s="9"/>
      <c r="N746" s="9"/>
      <c r="O746" s="19"/>
      <c r="P746" s="19"/>
      <c r="R746" s="19"/>
      <c r="S746" s="9"/>
    </row>
    <row r="747" spans="4:19" s="18" customFormat="1" x14ac:dyDescent="0.2">
      <c r="D747" s="9"/>
      <c r="G747" s="9"/>
      <c r="J747" s="9"/>
      <c r="N747" s="9"/>
      <c r="O747" s="19"/>
      <c r="P747" s="19"/>
      <c r="R747" s="19"/>
      <c r="S747" s="9"/>
    </row>
    <row r="748" spans="4:19" s="18" customFormat="1" x14ac:dyDescent="0.2">
      <c r="D748" s="9"/>
      <c r="G748" s="9"/>
      <c r="J748" s="9"/>
      <c r="N748" s="9"/>
      <c r="O748" s="19"/>
      <c r="P748" s="19"/>
      <c r="R748" s="19"/>
      <c r="S748" s="9"/>
    </row>
    <row r="749" spans="4:19" s="18" customFormat="1" x14ac:dyDescent="0.2">
      <c r="D749" s="9"/>
      <c r="G749" s="9"/>
      <c r="J749" s="9"/>
      <c r="N749" s="9"/>
      <c r="O749" s="19"/>
      <c r="P749" s="19"/>
      <c r="R749" s="19"/>
      <c r="S749" s="9"/>
    </row>
    <row r="750" spans="4:19" s="18" customFormat="1" x14ac:dyDescent="0.2">
      <c r="D750" s="9"/>
      <c r="G750" s="9"/>
      <c r="J750" s="9"/>
      <c r="N750" s="9"/>
      <c r="O750" s="19"/>
      <c r="P750" s="19"/>
      <c r="R750" s="19"/>
      <c r="S750" s="9"/>
    </row>
    <row r="751" spans="4:19" s="18" customFormat="1" x14ac:dyDescent="0.2">
      <c r="D751" s="9"/>
      <c r="G751" s="9"/>
      <c r="J751" s="9"/>
      <c r="N751" s="9"/>
      <c r="O751" s="19"/>
      <c r="P751" s="19"/>
      <c r="R751" s="19"/>
      <c r="S751" s="9"/>
    </row>
    <row r="752" spans="4:19" s="18" customFormat="1" x14ac:dyDescent="0.2">
      <c r="D752" s="9"/>
      <c r="G752" s="9"/>
      <c r="J752" s="9"/>
      <c r="N752" s="9"/>
      <c r="O752" s="19"/>
      <c r="P752" s="19"/>
      <c r="R752" s="19"/>
      <c r="S752" s="9"/>
    </row>
    <row r="753" spans="4:19" s="18" customFormat="1" x14ac:dyDescent="0.2">
      <c r="D753" s="9"/>
      <c r="G753" s="9"/>
      <c r="J753" s="9"/>
      <c r="N753" s="9"/>
      <c r="O753" s="19"/>
      <c r="P753" s="19"/>
      <c r="R753" s="19"/>
      <c r="S753" s="9"/>
    </row>
    <row r="754" spans="4:19" s="18" customFormat="1" x14ac:dyDescent="0.2">
      <c r="D754" s="9"/>
      <c r="G754" s="9"/>
      <c r="J754" s="9"/>
      <c r="N754" s="9"/>
      <c r="O754" s="19"/>
      <c r="P754" s="19"/>
      <c r="R754" s="19"/>
      <c r="S754" s="9"/>
    </row>
    <row r="755" spans="4:19" s="18" customFormat="1" x14ac:dyDescent="0.2">
      <c r="D755" s="9"/>
      <c r="G755" s="9"/>
      <c r="J755" s="9"/>
      <c r="N755" s="9"/>
      <c r="O755" s="19"/>
      <c r="P755" s="19"/>
      <c r="R755" s="19"/>
      <c r="S755" s="9"/>
    </row>
    <row r="756" spans="4:19" s="18" customFormat="1" x14ac:dyDescent="0.2">
      <c r="D756" s="9"/>
      <c r="G756" s="9"/>
      <c r="J756" s="9"/>
      <c r="N756" s="9"/>
      <c r="O756" s="19"/>
      <c r="P756" s="19"/>
      <c r="R756" s="19"/>
      <c r="S756" s="9"/>
    </row>
    <row r="757" spans="4:19" s="18" customFormat="1" x14ac:dyDescent="0.2">
      <c r="D757" s="9"/>
      <c r="G757" s="9"/>
      <c r="J757" s="9"/>
      <c r="N757" s="9"/>
      <c r="O757" s="19"/>
      <c r="P757" s="19"/>
      <c r="R757" s="19"/>
      <c r="S757" s="9"/>
    </row>
    <row r="758" spans="4:19" s="18" customFormat="1" x14ac:dyDescent="0.2">
      <c r="D758" s="9"/>
      <c r="G758" s="9"/>
      <c r="J758" s="9"/>
      <c r="N758" s="9"/>
      <c r="O758" s="19"/>
      <c r="P758" s="19"/>
      <c r="R758" s="19"/>
      <c r="S758" s="9"/>
    </row>
    <row r="759" spans="4:19" s="18" customFormat="1" x14ac:dyDescent="0.2">
      <c r="D759" s="9"/>
      <c r="G759" s="9"/>
      <c r="J759" s="9"/>
      <c r="N759" s="9"/>
      <c r="O759" s="19"/>
      <c r="P759" s="19"/>
      <c r="R759" s="19"/>
      <c r="S759" s="9"/>
    </row>
    <row r="760" spans="4:19" s="18" customFormat="1" x14ac:dyDescent="0.2">
      <c r="D760" s="9"/>
      <c r="G760" s="9"/>
      <c r="J760" s="9"/>
      <c r="N760" s="9"/>
      <c r="O760" s="19"/>
      <c r="P760" s="19"/>
      <c r="R760" s="19"/>
      <c r="S760" s="9"/>
    </row>
    <row r="761" spans="4:19" s="18" customFormat="1" x14ac:dyDescent="0.2">
      <c r="D761" s="9"/>
      <c r="G761" s="9"/>
      <c r="J761" s="9"/>
      <c r="N761" s="9"/>
      <c r="O761" s="19"/>
      <c r="P761" s="19"/>
      <c r="R761" s="19"/>
      <c r="S761" s="9"/>
    </row>
    <row r="762" spans="4:19" s="18" customFormat="1" x14ac:dyDescent="0.2">
      <c r="D762" s="9"/>
      <c r="G762" s="9"/>
      <c r="J762" s="9"/>
      <c r="N762" s="9"/>
      <c r="O762" s="19"/>
      <c r="P762" s="19"/>
      <c r="R762" s="19"/>
      <c r="S762" s="9"/>
    </row>
    <row r="763" spans="4:19" s="18" customFormat="1" x14ac:dyDescent="0.2">
      <c r="D763" s="9"/>
      <c r="G763" s="9"/>
      <c r="J763" s="9"/>
      <c r="N763" s="9"/>
      <c r="O763" s="19"/>
      <c r="P763" s="19"/>
      <c r="R763" s="19"/>
      <c r="S763" s="9"/>
    </row>
    <row r="764" spans="4:19" s="18" customFormat="1" x14ac:dyDescent="0.2">
      <c r="D764" s="9"/>
      <c r="G764" s="9"/>
      <c r="J764" s="9"/>
      <c r="N764" s="9"/>
      <c r="O764" s="19"/>
      <c r="P764" s="19"/>
      <c r="R764" s="19"/>
      <c r="S764" s="9"/>
    </row>
    <row r="765" spans="4:19" s="18" customFormat="1" x14ac:dyDescent="0.2">
      <c r="D765" s="9"/>
      <c r="G765" s="9"/>
      <c r="J765" s="9"/>
      <c r="N765" s="9"/>
      <c r="O765" s="19"/>
      <c r="P765" s="19"/>
      <c r="R765" s="19"/>
      <c r="S765" s="9"/>
    </row>
    <row r="766" spans="4:19" s="18" customFormat="1" x14ac:dyDescent="0.2">
      <c r="D766" s="9"/>
      <c r="G766" s="9"/>
      <c r="J766" s="9"/>
      <c r="N766" s="9"/>
      <c r="O766" s="19"/>
      <c r="P766" s="19"/>
      <c r="R766" s="19"/>
      <c r="S766" s="9"/>
    </row>
    <row r="767" spans="4:19" s="18" customFormat="1" x14ac:dyDescent="0.2">
      <c r="D767" s="9"/>
      <c r="G767" s="9"/>
      <c r="J767" s="9"/>
      <c r="N767" s="9"/>
      <c r="O767" s="19"/>
      <c r="P767" s="19"/>
      <c r="R767" s="19"/>
      <c r="S767" s="9"/>
    </row>
    <row r="768" spans="4:19" s="18" customFormat="1" x14ac:dyDescent="0.2">
      <c r="D768" s="9"/>
      <c r="G768" s="9"/>
      <c r="J768" s="9"/>
      <c r="N768" s="9"/>
      <c r="O768" s="19"/>
      <c r="P768" s="19"/>
      <c r="R768" s="19"/>
      <c r="S768" s="9"/>
    </row>
    <row r="769" spans="4:19" s="18" customFormat="1" x14ac:dyDescent="0.2">
      <c r="D769" s="9"/>
      <c r="G769" s="9"/>
      <c r="J769" s="9"/>
      <c r="N769" s="9"/>
      <c r="O769" s="19"/>
      <c r="P769" s="19"/>
      <c r="R769" s="19"/>
      <c r="S769" s="9"/>
    </row>
    <row r="770" spans="4:19" s="18" customFormat="1" x14ac:dyDescent="0.2">
      <c r="D770" s="9"/>
      <c r="G770" s="9"/>
      <c r="J770" s="9"/>
      <c r="N770" s="9"/>
      <c r="O770" s="19"/>
      <c r="P770" s="19"/>
      <c r="R770" s="19"/>
      <c r="S770" s="9"/>
    </row>
    <row r="771" spans="4:19" s="18" customFormat="1" x14ac:dyDescent="0.2">
      <c r="D771" s="9"/>
      <c r="G771" s="9"/>
      <c r="J771" s="9"/>
      <c r="N771" s="9"/>
      <c r="O771" s="19"/>
      <c r="P771" s="19"/>
      <c r="R771" s="19"/>
      <c r="S771" s="9"/>
    </row>
    <row r="772" spans="4:19" s="18" customFormat="1" x14ac:dyDescent="0.2">
      <c r="D772" s="9"/>
      <c r="G772" s="9"/>
      <c r="J772" s="9"/>
      <c r="N772" s="9"/>
      <c r="O772" s="19"/>
      <c r="P772" s="19"/>
      <c r="R772" s="19"/>
      <c r="S772" s="9"/>
    </row>
    <row r="773" spans="4:19" s="18" customFormat="1" x14ac:dyDescent="0.2">
      <c r="D773" s="9"/>
      <c r="G773" s="9"/>
      <c r="J773" s="9"/>
      <c r="N773" s="9"/>
      <c r="O773" s="19"/>
      <c r="P773" s="19"/>
      <c r="R773" s="19"/>
      <c r="S773" s="9"/>
    </row>
    <row r="774" spans="4:19" s="18" customFormat="1" x14ac:dyDescent="0.2">
      <c r="D774" s="9"/>
      <c r="G774" s="9"/>
      <c r="J774" s="9"/>
      <c r="N774" s="9"/>
      <c r="O774" s="19"/>
      <c r="P774" s="19"/>
      <c r="R774" s="19"/>
      <c r="S774" s="9"/>
    </row>
    <row r="775" spans="4:19" s="18" customFormat="1" x14ac:dyDescent="0.2">
      <c r="D775" s="9"/>
      <c r="G775" s="9"/>
      <c r="J775" s="9"/>
      <c r="N775" s="9"/>
      <c r="O775" s="19"/>
      <c r="P775" s="19"/>
      <c r="R775" s="19"/>
      <c r="S775" s="9"/>
    </row>
    <row r="776" spans="4:19" s="18" customFormat="1" x14ac:dyDescent="0.2">
      <c r="D776" s="9"/>
      <c r="G776" s="9"/>
      <c r="J776" s="9"/>
      <c r="N776" s="9"/>
      <c r="O776" s="19"/>
      <c r="P776" s="19"/>
      <c r="R776" s="19"/>
      <c r="S776" s="9"/>
    </row>
    <row r="777" spans="4:19" s="18" customFormat="1" x14ac:dyDescent="0.2">
      <c r="D777" s="9"/>
      <c r="G777" s="9"/>
      <c r="J777" s="9"/>
      <c r="N777" s="9"/>
      <c r="O777" s="19"/>
      <c r="P777" s="19"/>
      <c r="R777" s="19"/>
      <c r="S777" s="9"/>
    </row>
    <row r="778" spans="4:19" s="18" customFormat="1" x14ac:dyDescent="0.2">
      <c r="D778" s="9"/>
      <c r="G778" s="9"/>
      <c r="J778" s="9"/>
      <c r="N778" s="9"/>
      <c r="O778" s="19"/>
      <c r="P778" s="19"/>
      <c r="R778" s="19"/>
      <c r="S778" s="9"/>
    </row>
    <row r="779" spans="4:19" s="18" customFormat="1" x14ac:dyDescent="0.2">
      <c r="D779" s="9"/>
      <c r="G779" s="9"/>
      <c r="J779" s="9"/>
      <c r="N779" s="9"/>
      <c r="O779" s="19"/>
      <c r="P779" s="19"/>
      <c r="R779" s="19"/>
      <c r="S779" s="9"/>
    </row>
    <row r="780" spans="4:19" s="18" customFormat="1" x14ac:dyDescent="0.2">
      <c r="D780" s="9"/>
      <c r="G780" s="9"/>
      <c r="J780" s="9"/>
      <c r="N780" s="9"/>
      <c r="O780" s="19"/>
      <c r="P780" s="19"/>
      <c r="R780" s="19"/>
      <c r="S780" s="9"/>
    </row>
    <row r="781" spans="4:19" s="18" customFormat="1" x14ac:dyDescent="0.2">
      <c r="D781" s="9"/>
      <c r="G781" s="9"/>
      <c r="J781" s="9"/>
      <c r="N781" s="9"/>
      <c r="O781" s="19"/>
      <c r="P781" s="19"/>
      <c r="R781" s="19"/>
      <c r="S781" s="9"/>
    </row>
    <row r="782" spans="4:19" s="18" customFormat="1" x14ac:dyDescent="0.2">
      <c r="D782" s="9"/>
      <c r="G782" s="9"/>
      <c r="J782" s="9"/>
      <c r="N782" s="9"/>
      <c r="O782" s="19"/>
      <c r="P782" s="19"/>
      <c r="R782" s="19"/>
      <c r="S782" s="9"/>
    </row>
    <row r="783" spans="4:19" s="18" customFormat="1" x14ac:dyDescent="0.2">
      <c r="D783" s="9"/>
      <c r="G783" s="9"/>
      <c r="J783" s="9"/>
      <c r="N783" s="9"/>
      <c r="O783" s="19"/>
      <c r="P783" s="19"/>
      <c r="R783" s="19"/>
      <c r="S783" s="9"/>
    </row>
    <row r="784" spans="4:19" s="18" customFormat="1" x14ac:dyDescent="0.2">
      <c r="D784" s="9"/>
      <c r="G784" s="9"/>
      <c r="J784" s="9"/>
      <c r="N784" s="9"/>
      <c r="O784" s="19"/>
      <c r="P784" s="19"/>
      <c r="R784" s="19"/>
      <c r="S784" s="9"/>
    </row>
    <row r="785" spans="4:19" s="18" customFormat="1" x14ac:dyDescent="0.2">
      <c r="D785" s="9"/>
      <c r="G785" s="9"/>
      <c r="J785" s="9"/>
      <c r="N785" s="9"/>
      <c r="O785" s="19"/>
      <c r="P785" s="19"/>
      <c r="R785" s="19"/>
      <c r="S785" s="9"/>
    </row>
    <row r="786" spans="4:19" s="18" customFormat="1" x14ac:dyDescent="0.2">
      <c r="D786" s="9"/>
      <c r="G786" s="9"/>
      <c r="J786" s="9"/>
      <c r="N786" s="9"/>
      <c r="O786" s="19"/>
      <c r="P786" s="19"/>
      <c r="R786" s="19"/>
      <c r="S786" s="9"/>
    </row>
    <row r="787" spans="4:19" s="18" customFormat="1" x14ac:dyDescent="0.2">
      <c r="D787" s="9"/>
      <c r="G787" s="9"/>
      <c r="J787" s="9"/>
      <c r="N787" s="9"/>
      <c r="O787" s="19"/>
      <c r="P787" s="19"/>
      <c r="R787" s="19"/>
      <c r="S787" s="9"/>
    </row>
    <row r="788" spans="4:19" s="18" customFormat="1" x14ac:dyDescent="0.2">
      <c r="D788" s="9"/>
      <c r="G788" s="9"/>
      <c r="J788" s="9"/>
      <c r="N788" s="9"/>
      <c r="O788" s="19"/>
      <c r="P788" s="19"/>
      <c r="R788" s="19"/>
      <c r="S788" s="9"/>
    </row>
    <row r="789" spans="4:19" s="18" customFormat="1" x14ac:dyDescent="0.2">
      <c r="D789" s="9"/>
      <c r="G789" s="9"/>
      <c r="J789" s="9"/>
      <c r="N789" s="9"/>
      <c r="O789" s="19"/>
      <c r="P789" s="19"/>
      <c r="R789" s="19"/>
      <c r="S789" s="9"/>
    </row>
    <row r="790" spans="4:19" s="18" customFormat="1" x14ac:dyDescent="0.2">
      <c r="D790" s="9"/>
      <c r="G790" s="9"/>
      <c r="J790" s="9"/>
      <c r="N790" s="9"/>
      <c r="O790" s="19"/>
      <c r="P790" s="19"/>
      <c r="R790" s="19"/>
      <c r="S790" s="9"/>
    </row>
    <row r="791" spans="4:19" s="18" customFormat="1" x14ac:dyDescent="0.2">
      <c r="D791" s="9"/>
      <c r="G791" s="9"/>
      <c r="J791" s="9"/>
      <c r="N791" s="9"/>
      <c r="O791" s="19"/>
      <c r="P791" s="19"/>
      <c r="R791" s="19"/>
      <c r="S791" s="9"/>
    </row>
    <row r="792" spans="4:19" s="18" customFormat="1" x14ac:dyDescent="0.2">
      <c r="D792" s="9"/>
      <c r="G792" s="9"/>
      <c r="J792" s="9"/>
      <c r="N792" s="9"/>
      <c r="O792" s="19"/>
      <c r="P792" s="19"/>
      <c r="R792" s="19"/>
      <c r="S792" s="9"/>
    </row>
    <row r="793" spans="4:19" s="18" customFormat="1" x14ac:dyDescent="0.2">
      <c r="D793" s="9"/>
      <c r="G793" s="9"/>
      <c r="J793" s="9"/>
      <c r="N793" s="9"/>
      <c r="O793" s="19"/>
      <c r="P793" s="19"/>
      <c r="R793" s="19"/>
      <c r="S793" s="9"/>
    </row>
    <row r="794" spans="4:19" s="18" customFormat="1" x14ac:dyDescent="0.2">
      <c r="D794" s="9"/>
      <c r="G794" s="9"/>
      <c r="J794" s="9"/>
      <c r="N794" s="9"/>
      <c r="O794" s="19"/>
      <c r="P794" s="19"/>
      <c r="R794" s="19"/>
      <c r="S794" s="9"/>
    </row>
    <row r="795" spans="4:19" s="18" customFormat="1" x14ac:dyDescent="0.2">
      <c r="D795" s="9"/>
      <c r="G795" s="9"/>
      <c r="J795" s="9"/>
      <c r="N795" s="9"/>
      <c r="O795" s="19"/>
      <c r="P795" s="19"/>
      <c r="R795" s="19"/>
      <c r="S795" s="9"/>
    </row>
    <row r="796" spans="4:19" s="18" customFormat="1" x14ac:dyDescent="0.2">
      <c r="D796" s="9"/>
      <c r="G796" s="9"/>
      <c r="J796" s="9"/>
      <c r="N796" s="9"/>
      <c r="O796" s="19"/>
      <c r="P796" s="19"/>
      <c r="R796" s="19"/>
      <c r="S796" s="9"/>
    </row>
    <row r="797" spans="4:19" s="18" customFormat="1" x14ac:dyDescent="0.2">
      <c r="D797" s="9"/>
      <c r="G797" s="9"/>
      <c r="J797" s="9"/>
      <c r="N797" s="9"/>
      <c r="O797" s="19"/>
      <c r="P797" s="19"/>
      <c r="R797" s="19"/>
      <c r="S797" s="9"/>
    </row>
    <row r="798" spans="4:19" s="18" customFormat="1" x14ac:dyDescent="0.2">
      <c r="D798" s="9"/>
      <c r="G798" s="9"/>
      <c r="J798" s="9"/>
      <c r="N798" s="9"/>
      <c r="O798" s="19"/>
      <c r="P798" s="19"/>
      <c r="R798" s="19"/>
      <c r="S798" s="9"/>
    </row>
    <row r="799" spans="4:19" s="18" customFormat="1" x14ac:dyDescent="0.2">
      <c r="D799" s="9"/>
      <c r="G799" s="9"/>
      <c r="J799" s="9"/>
      <c r="N799" s="9"/>
      <c r="O799" s="19"/>
      <c r="P799" s="19"/>
      <c r="R799" s="19"/>
      <c r="S799" s="9"/>
    </row>
    <row r="800" spans="4:19" s="18" customFormat="1" x14ac:dyDescent="0.2">
      <c r="D800" s="9"/>
      <c r="G800" s="9"/>
      <c r="J800" s="9"/>
      <c r="N800" s="9"/>
      <c r="O800" s="19"/>
      <c r="P800" s="19"/>
      <c r="R800" s="19"/>
      <c r="S800" s="9"/>
    </row>
    <row r="801" spans="4:19" s="18" customFormat="1" x14ac:dyDescent="0.2">
      <c r="D801" s="9"/>
      <c r="G801" s="9"/>
      <c r="J801" s="9"/>
      <c r="N801" s="9"/>
      <c r="O801" s="19"/>
      <c r="P801" s="19"/>
      <c r="R801" s="19"/>
      <c r="S801" s="9"/>
    </row>
    <row r="802" spans="4:19" s="18" customFormat="1" x14ac:dyDescent="0.2">
      <c r="D802" s="9"/>
      <c r="G802" s="9"/>
      <c r="J802" s="9"/>
      <c r="N802" s="9"/>
      <c r="O802" s="19"/>
      <c r="P802" s="19"/>
      <c r="R802" s="19"/>
      <c r="S802" s="9"/>
    </row>
    <row r="803" spans="4:19" s="18" customFormat="1" x14ac:dyDescent="0.2">
      <c r="D803" s="9"/>
      <c r="G803" s="9"/>
      <c r="J803" s="9"/>
      <c r="N803" s="9"/>
      <c r="O803" s="19"/>
      <c r="P803" s="19"/>
      <c r="R803" s="19"/>
      <c r="S803" s="9"/>
    </row>
    <row r="804" spans="4:19" s="18" customFormat="1" x14ac:dyDescent="0.2">
      <c r="D804" s="9"/>
      <c r="G804" s="9"/>
      <c r="J804" s="9"/>
      <c r="N804" s="9"/>
      <c r="O804" s="19"/>
      <c r="P804" s="19"/>
      <c r="R804" s="19"/>
      <c r="S804" s="9"/>
    </row>
    <row r="805" spans="4:19" s="18" customFormat="1" x14ac:dyDescent="0.2">
      <c r="D805" s="9"/>
      <c r="G805" s="9"/>
      <c r="J805" s="9"/>
      <c r="N805" s="9"/>
      <c r="O805" s="19"/>
      <c r="P805" s="19"/>
      <c r="R805" s="19"/>
      <c r="S805" s="9"/>
    </row>
    <row r="806" spans="4:19" s="18" customFormat="1" x14ac:dyDescent="0.2">
      <c r="D806" s="9"/>
      <c r="G806" s="9"/>
      <c r="J806" s="9"/>
      <c r="N806" s="9"/>
      <c r="O806" s="19"/>
      <c r="P806" s="19"/>
      <c r="R806" s="19"/>
      <c r="S806" s="9"/>
    </row>
    <row r="807" spans="4:19" s="18" customFormat="1" x14ac:dyDescent="0.2">
      <c r="D807" s="9"/>
      <c r="G807" s="9"/>
      <c r="J807" s="9"/>
      <c r="N807" s="9"/>
      <c r="O807" s="19"/>
      <c r="P807" s="19"/>
      <c r="R807" s="19"/>
      <c r="S807" s="9"/>
    </row>
    <row r="808" spans="4:19" s="18" customFormat="1" x14ac:dyDescent="0.2">
      <c r="D808" s="9"/>
      <c r="G808" s="9"/>
      <c r="J808" s="9"/>
      <c r="N808" s="9"/>
      <c r="O808" s="19"/>
      <c r="P808" s="19"/>
      <c r="R808" s="19"/>
      <c r="S808" s="9"/>
    </row>
    <row r="809" spans="4:19" s="18" customFormat="1" x14ac:dyDescent="0.2">
      <c r="D809" s="9"/>
      <c r="G809" s="9"/>
      <c r="J809" s="9"/>
      <c r="N809" s="9"/>
      <c r="O809" s="19"/>
      <c r="P809" s="19"/>
      <c r="R809" s="19"/>
      <c r="S809" s="9"/>
    </row>
    <row r="810" spans="4:19" s="18" customFormat="1" x14ac:dyDescent="0.2">
      <c r="D810" s="9"/>
      <c r="G810" s="9"/>
      <c r="J810" s="9"/>
      <c r="N810" s="9"/>
      <c r="O810" s="19"/>
      <c r="P810" s="19"/>
      <c r="R810" s="19"/>
      <c r="S810" s="9"/>
    </row>
    <row r="811" spans="4:19" s="18" customFormat="1" x14ac:dyDescent="0.2">
      <c r="D811" s="9"/>
      <c r="G811" s="9"/>
      <c r="J811" s="9"/>
      <c r="N811" s="9"/>
      <c r="O811" s="19"/>
      <c r="P811" s="19"/>
      <c r="R811" s="19"/>
      <c r="S811" s="9"/>
    </row>
    <row r="812" spans="4:19" s="18" customFormat="1" x14ac:dyDescent="0.2">
      <c r="D812" s="9"/>
      <c r="G812" s="9"/>
      <c r="J812" s="9"/>
      <c r="N812" s="9"/>
      <c r="O812" s="19"/>
      <c r="P812" s="19"/>
      <c r="R812" s="19"/>
      <c r="S812" s="9"/>
    </row>
    <row r="813" spans="4:19" s="18" customFormat="1" x14ac:dyDescent="0.2">
      <c r="D813" s="9"/>
      <c r="G813" s="9"/>
      <c r="J813" s="9"/>
      <c r="N813" s="9"/>
      <c r="O813" s="19"/>
      <c r="P813" s="19"/>
      <c r="R813" s="19"/>
      <c r="S813" s="9"/>
    </row>
    <row r="814" spans="4:19" s="18" customFormat="1" x14ac:dyDescent="0.2">
      <c r="D814" s="9"/>
      <c r="G814" s="9"/>
      <c r="J814" s="9"/>
      <c r="N814" s="9"/>
      <c r="O814" s="19"/>
      <c r="P814" s="19"/>
      <c r="R814" s="19"/>
      <c r="S814" s="9"/>
    </row>
    <row r="815" spans="4:19" s="18" customFormat="1" x14ac:dyDescent="0.2">
      <c r="D815" s="9"/>
      <c r="G815" s="9"/>
      <c r="J815" s="9"/>
      <c r="N815" s="9"/>
      <c r="O815" s="19"/>
      <c r="P815" s="19"/>
      <c r="R815" s="19"/>
      <c r="S815" s="9"/>
    </row>
    <row r="816" spans="4:19" s="18" customFormat="1" x14ac:dyDescent="0.2">
      <c r="D816" s="9"/>
      <c r="G816" s="9"/>
      <c r="J816" s="9"/>
      <c r="N816" s="9"/>
      <c r="O816" s="19"/>
      <c r="P816" s="19"/>
      <c r="R816" s="19"/>
      <c r="S816" s="9"/>
    </row>
    <row r="817" spans="4:19" s="18" customFormat="1" x14ac:dyDescent="0.2">
      <c r="D817" s="9"/>
      <c r="G817" s="9"/>
      <c r="J817" s="9"/>
      <c r="N817" s="9"/>
      <c r="O817" s="19"/>
      <c r="P817" s="19"/>
      <c r="R817" s="19"/>
      <c r="S817" s="9"/>
    </row>
    <row r="818" spans="4:19" s="18" customFormat="1" x14ac:dyDescent="0.2">
      <c r="D818" s="9"/>
      <c r="G818" s="9"/>
      <c r="J818" s="9"/>
      <c r="N818" s="9"/>
      <c r="O818" s="19"/>
      <c r="P818" s="19"/>
      <c r="R818" s="19"/>
      <c r="S818" s="9"/>
    </row>
    <row r="819" spans="4:19" s="18" customFormat="1" x14ac:dyDescent="0.2">
      <c r="D819" s="9"/>
      <c r="G819" s="9"/>
      <c r="J819" s="9"/>
      <c r="N819" s="9"/>
      <c r="O819" s="19"/>
      <c r="P819" s="19"/>
      <c r="R819" s="19"/>
      <c r="S819" s="9"/>
    </row>
    <row r="820" spans="4:19" s="18" customFormat="1" x14ac:dyDescent="0.2">
      <c r="D820" s="9"/>
      <c r="G820" s="9"/>
      <c r="J820" s="9"/>
      <c r="N820" s="9"/>
      <c r="O820" s="19"/>
      <c r="P820" s="19"/>
      <c r="R820" s="19"/>
      <c r="S820" s="9"/>
    </row>
    <row r="821" spans="4:19" s="18" customFormat="1" x14ac:dyDescent="0.2">
      <c r="D821" s="9"/>
      <c r="G821" s="9"/>
      <c r="J821" s="9"/>
      <c r="N821" s="9"/>
      <c r="O821" s="19"/>
      <c r="P821" s="19"/>
      <c r="R821" s="19"/>
      <c r="S821" s="9"/>
    </row>
    <row r="822" spans="4:19" s="18" customFormat="1" x14ac:dyDescent="0.2">
      <c r="D822" s="9"/>
      <c r="G822" s="9"/>
      <c r="J822" s="9"/>
      <c r="N822" s="9"/>
      <c r="O822" s="19"/>
      <c r="P822" s="19"/>
      <c r="R822" s="19"/>
      <c r="S822" s="9"/>
    </row>
    <row r="823" spans="4:19" s="18" customFormat="1" x14ac:dyDescent="0.2">
      <c r="D823" s="9"/>
      <c r="G823" s="9"/>
      <c r="J823" s="9"/>
      <c r="N823" s="9"/>
      <c r="O823" s="19"/>
      <c r="P823" s="19"/>
      <c r="R823" s="19"/>
      <c r="S823" s="9"/>
    </row>
    <row r="824" spans="4:19" s="18" customFormat="1" x14ac:dyDescent="0.2">
      <c r="D824" s="9"/>
      <c r="G824" s="9"/>
      <c r="J824" s="9"/>
      <c r="N824" s="9"/>
      <c r="O824" s="19"/>
      <c r="P824" s="19"/>
      <c r="R824" s="19"/>
      <c r="S824" s="9"/>
    </row>
    <row r="825" spans="4:19" s="18" customFormat="1" x14ac:dyDescent="0.2">
      <c r="D825" s="9"/>
      <c r="G825" s="9"/>
      <c r="J825" s="9"/>
      <c r="N825" s="9"/>
      <c r="O825" s="19"/>
      <c r="P825" s="19"/>
      <c r="R825" s="19"/>
      <c r="S825" s="9"/>
    </row>
    <row r="826" spans="4:19" s="18" customFormat="1" x14ac:dyDescent="0.2">
      <c r="D826" s="9"/>
      <c r="G826" s="9"/>
      <c r="J826" s="9"/>
      <c r="N826" s="9"/>
      <c r="O826" s="19"/>
      <c r="P826" s="19"/>
      <c r="R826" s="19"/>
      <c r="S826" s="9"/>
    </row>
    <row r="827" spans="4:19" s="18" customFormat="1" x14ac:dyDescent="0.2">
      <c r="D827" s="9"/>
      <c r="G827" s="9"/>
      <c r="J827" s="9"/>
      <c r="N827" s="9"/>
      <c r="O827" s="19"/>
      <c r="P827" s="19"/>
      <c r="R827" s="19"/>
      <c r="S827" s="9"/>
    </row>
    <row r="828" spans="4:19" s="18" customFormat="1" x14ac:dyDescent="0.2">
      <c r="D828" s="9"/>
      <c r="G828" s="9"/>
      <c r="J828" s="9"/>
      <c r="N828" s="9"/>
      <c r="O828" s="19"/>
      <c r="P828" s="19"/>
      <c r="R828" s="19"/>
      <c r="S828" s="9"/>
    </row>
    <row r="829" spans="4:19" s="18" customFormat="1" x14ac:dyDescent="0.2">
      <c r="D829" s="9"/>
      <c r="G829" s="9"/>
      <c r="J829" s="9"/>
      <c r="N829" s="9"/>
      <c r="O829" s="19"/>
      <c r="P829" s="19"/>
      <c r="R829" s="19"/>
      <c r="S829" s="9"/>
    </row>
    <row r="830" spans="4:19" s="18" customFormat="1" x14ac:dyDescent="0.2">
      <c r="D830" s="9"/>
      <c r="G830" s="9"/>
      <c r="J830" s="9"/>
      <c r="N830" s="9"/>
      <c r="O830" s="19"/>
      <c r="P830" s="19"/>
      <c r="R830" s="19"/>
      <c r="S830" s="9"/>
    </row>
    <row r="831" spans="4:19" s="18" customFormat="1" x14ac:dyDescent="0.2">
      <c r="D831" s="9"/>
      <c r="G831" s="9"/>
      <c r="J831" s="9"/>
      <c r="N831" s="9"/>
      <c r="O831" s="19"/>
      <c r="P831" s="19"/>
      <c r="R831" s="19"/>
      <c r="S831" s="9"/>
    </row>
    <row r="832" spans="4:19" s="18" customFormat="1" x14ac:dyDescent="0.2">
      <c r="D832" s="9"/>
      <c r="G832" s="9"/>
      <c r="J832" s="9"/>
      <c r="N832" s="9"/>
      <c r="O832" s="19"/>
      <c r="P832" s="19"/>
      <c r="R832" s="19"/>
      <c r="S832" s="9"/>
    </row>
    <row r="833" spans="4:19" s="18" customFormat="1" x14ac:dyDescent="0.2">
      <c r="D833" s="9"/>
      <c r="G833" s="9"/>
      <c r="J833" s="9"/>
      <c r="N833" s="9"/>
      <c r="O833" s="19"/>
      <c r="P833" s="19"/>
      <c r="R833" s="19"/>
      <c r="S833" s="9"/>
    </row>
    <row r="834" spans="4:19" s="18" customFormat="1" x14ac:dyDescent="0.2">
      <c r="D834" s="9"/>
      <c r="G834" s="9"/>
      <c r="J834" s="9"/>
      <c r="N834" s="9"/>
      <c r="O834" s="19"/>
      <c r="P834" s="19"/>
      <c r="R834" s="19"/>
      <c r="S834" s="9"/>
    </row>
    <row r="835" spans="4:19" s="18" customFormat="1" x14ac:dyDescent="0.2">
      <c r="D835" s="9"/>
      <c r="G835" s="9"/>
      <c r="J835" s="9"/>
      <c r="N835" s="9"/>
      <c r="O835" s="19"/>
      <c r="P835" s="19"/>
      <c r="R835" s="19"/>
      <c r="S835" s="9"/>
    </row>
    <row r="836" spans="4:19" s="18" customFormat="1" x14ac:dyDescent="0.2">
      <c r="D836" s="9"/>
      <c r="G836" s="9"/>
      <c r="J836" s="9"/>
      <c r="N836" s="9"/>
      <c r="O836" s="19"/>
      <c r="P836" s="19"/>
      <c r="R836" s="19"/>
      <c r="S836" s="9"/>
    </row>
    <row r="837" spans="4:19" s="18" customFormat="1" x14ac:dyDescent="0.2">
      <c r="D837" s="9"/>
      <c r="G837" s="9"/>
      <c r="J837" s="9"/>
      <c r="N837" s="9"/>
      <c r="O837" s="19"/>
      <c r="P837" s="19"/>
      <c r="R837" s="19"/>
      <c r="S837" s="9"/>
    </row>
    <row r="838" spans="4:19" s="18" customFormat="1" x14ac:dyDescent="0.2">
      <c r="D838" s="9"/>
      <c r="G838" s="9"/>
      <c r="J838" s="9"/>
      <c r="N838" s="9"/>
      <c r="O838" s="19"/>
      <c r="P838" s="19"/>
      <c r="R838" s="19"/>
      <c r="S838" s="9"/>
    </row>
    <row r="839" spans="4:19" s="18" customFormat="1" x14ac:dyDescent="0.2">
      <c r="D839" s="9"/>
      <c r="G839" s="9"/>
      <c r="J839" s="9"/>
      <c r="N839" s="9"/>
      <c r="O839" s="19"/>
      <c r="P839" s="19"/>
      <c r="R839" s="19"/>
      <c r="S839" s="9"/>
    </row>
    <row r="840" spans="4:19" s="18" customFormat="1" x14ac:dyDescent="0.2">
      <c r="D840" s="9"/>
      <c r="G840" s="9"/>
      <c r="J840" s="9"/>
      <c r="N840" s="9"/>
      <c r="O840" s="19"/>
      <c r="P840" s="19"/>
      <c r="R840" s="19"/>
      <c r="S840" s="9"/>
    </row>
    <row r="841" spans="4:19" s="18" customFormat="1" x14ac:dyDescent="0.2">
      <c r="D841" s="9"/>
      <c r="G841" s="9"/>
      <c r="J841" s="9"/>
      <c r="N841" s="9"/>
      <c r="O841" s="19"/>
      <c r="P841" s="19"/>
      <c r="R841" s="19"/>
      <c r="S841" s="9"/>
    </row>
    <row r="842" spans="4:19" s="18" customFormat="1" x14ac:dyDescent="0.2">
      <c r="D842" s="9"/>
      <c r="G842" s="9"/>
      <c r="J842" s="9"/>
      <c r="N842" s="9"/>
      <c r="O842" s="19"/>
      <c r="P842" s="19"/>
      <c r="R842" s="19"/>
      <c r="S842" s="9"/>
    </row>
    <row r="843" spans="4:19" s="18" customFormat="1" x14ac:dyDescent="0.2">
      <c r="D843" s="9"/>
      <c r="G843" s="9"/>
      <c r="J843" s="9"/>
      <c r="N843" s="9"/>
      <c r="O843" s="19"/>
      <c r="P843" s="19"/>
      <c r="R843" s="19"/>
      <c r="S843" s="9"/>
    </row>
    <row r="844" spans="4:19" s="18" customFormat="1" x14ac:dyDescent="0.2">
      <c r="D844" s="9"/>
      <c r="G844" s="9"/>
      <c r="J844" s="9"/>
      <c r="N844" s="9"/>
      <c r="O844" s="19"/>
      <c r="P844" s="19"/>
      <c r="R844" s="19"/>
      <c r="S844" s="9"/>
    </row>
    <row r="845" spans="4:19" s="18" customFormat="1" x14ac:dyDescent="0.2">
      <c r="D845" s="9"/>
      <c r="G845" s="9"/>
      <c r="J845" s="9"/>
      <c r="N845" s="9"/>
      <c r="O845" s="19"/>
      <c r="P845" s="19"/>
      <c r="R845" s="19"/>
      <c r="S845" s="9"/>
    </row>
    <row r="846" spans="4:19" s="18" customFormat="1" x14ac:dyDescent="0.2">
      <c r="D846" s="9"/>
      <c r="G846" s="9"/>
      <c r="J846" s="9"/>
      <c r="N846" s="9"/>
      <c r="O846" s="19"/>
      <c r="P846" s="19"/>
      <c r="R846" s="19"/>
      <c r="S846" s="9"/>
    </row>
    <row r="847" spans="4:19" s="18" customFormat="1" x14ac:dyDescent="0.2">
      <c r="D847" s="9"/>
      <c r="G847" s="9"/>
      <c r="J847" s="9"/>
      <c r="N847" s="9"/>
      <c r="O847" s="19"/>
      <c r="P847" s="19"/>
      <c r="R847" s="19"/>
      <c r="S847" s="9"/>
    </row>
    <row r="848" spans="4:19" s="18" customFormat="1" x14ac:dyDescent="0.2">
      <c r="D848" s="9"/>
      <c r="G848" s="9"/>
      <c r="J848" s="9"/>
      <c r="N848" s="9"/>
      <c r="O848" s="19"/>
      <c r="P848" s="19"/>
      <c r="R848" s="19"/>
      <c r="S848" s="9"/>
    </row>
    <row r="849" spans="4:19" s="18" customFormat="1" x14ac:dyDescent="0.2">
      <c r="D849" s="9"/>
      <c r="G849" s="9"/>
      <c r="J849" s="9"/>
      <c r="N849" s="9"/>
      <c r="O849" s="19"/>
      <c r="P849" s="19"/>
      <c r="R849" s="19"/>
      <c r="S849" s="9"/>
    </row>
    <row r="850" spans="4:19" s="18" customFormat="1" x14ac:dyDescent="0.2">
      <c r="D850" s="9"/>
      <c r="G850" s="9"/>
      <c r="J850" s="9"/>
      <c r="N850" s="9"/>
      <c r="O850" s="19"/>
      <c r="P850" s="19"/>
      <c r="R850" s="19"/>
      <c r="S850" s="9"/>
    </row>
    <row r="851" spans="4:19" s="18" customFormat="1" x14ac:dyDescent="0.2">
      <c r="D851" s="9"/>
      <c r="G851" s="9"/>
      <c r="J851" s="9"/>
      <c r="N851" s="9"/>
      <c r="O851" s="19"/>
      <c r="P851" s="19"/>
      <c r="R851" s="19"/>
      <c r="S851" s="9"/>
    </row>
    <row r="852" spans="4:19" s="18" customFormat="1" x14ac:dyDescent="0.2">
      <c r="D852" s="9"/>
      <c r="G852" s="9"/>
      <c r="J852" s="9"/>
      <c r="N852" s="9"/>
      <c r="O852" s="19"/>
      <c r="P852" s="19"/>
      <c r="R852" s="19"/>
      <c r="S852" s="9"/>
    </row>
    <row r="853" spans="4:19" s="18" customFormat="1" x14ac:dyDescent="0.2">
      <c r="D853" s="9"/>
      <c r="G853" s="9"/>
      <c r="J853" s="9"/>
      <c r="N853" s="9"/>
      <c r="O853" s="19"/>
      <c r="P853" s="19"/>
      <c r="R853" s="19"/>
      <c r="S853" s="9"/>
    </row>
    <row r="854" spans="4:19" s="18" customFormat="1" x14ac:dyDescent="0.2">
      <c r="D854" s="9"/>
      <c r="G854" s="9"/>
      <c r="J854" s="9"/>
      <c r="N854" s="9"/>
      <c r="O854" s="19"/>
      <c r="P854" s="19"/>
      <c r="R854" s="19"/>
      <c r="S854" s="9"/>
    </row>
    <row r="855" spans="4:19" s="18" customFormat="1" x14ac:dyDescent="0.2">
      <c r="D855" s="9"/>
      <c r="G855" s="9"/>
      <c r="J855" s="9"/>
      <c r="N855" s="9"/>
      <c r="O855" s="19"/>
      <c r="P855" s="19"/>
      <c r="R855" s="19"/>
      <c r="S855" s="9"/>
    </row>
    <row r="856" spans="4:19" s="18" customFormat="1" x14ac:dyDescent="0.2">
      <c r="D856" s="9"/>
      <c r="G856" s="9"/>
      <c r="J856" s="9"/>
      <c r="N856" s="9"/>
      <c r="O856" s="19"/>
      <c r="P856" s="19"/>
      <c r="R856" s="19"/>
      <c r="S856" s="9"/>
    </row>
    <row r="857" spans="4:19" s="18" customFormat="1" x14ac:dyDescent="0.2">
      <c r="D857" s="9"/>
      <c r="G857" s="9"/>
      <c r="J857" s="9"/>
      <c r="N857" s="9"/>
      <c r="O857" s="19"/>
      <c r="P857" s="19"/>
      <c r="R857" s="19"/>
      <c r="S857" s="9"/>
    </row>
    <row r="858" spans="4:19" s="18" customFormat="1" x14ac:dyDescent="0.2">
      <c r="D858" s="9"/>
      <c r="G858" s="9"/>
      <c r="J858" s="9"/>
      <c r="N858" s="9"/>
      <c r="O858" s="19"/>
      <c r="P858" s="19"/>
      <c r="R858" s="19"/>
      <c r="S858" s="9"/>
    </row>
    <row r="859" spans="4:19" s="18" customFormat="1" x14ac:dyDescent="0.2">
      <c r="D859" s="9"/>
      <c r="G859" s="9"/>
      <c r="J859" s="9"/>
      <c r="N859" s="9"/>
      <c r="O859" s="19"/>
      <c r="P859" s="19"/>
      <c r="R859" s="19"/>
      <c r="S859" s="9"/>
    </row>
    <row r="860" spans="4:19" s="18" customFormat="1" x14ac:dyDescent="0.2">
      <c r="D860" s="9"/>
      <c r="G860" s="9"/>
      <c r="J860" s="9"/>
      <c r="N860" s="9"/>
      <c r="O860" s="19"/>
      <c r="P860" s="19"/>
      <c r="R860" s="19"/>
      <c r="S860" s="9"/>
    </row>
    <row r="861" spans="4:19" s="18" customFormat="1" x14ac:dyDescent="0.2">
      <c r="D861" s="9"/>
      <c r="G861" s="9"/>
      <c r="J861" s="9"/>
      <c r="N861" s="9"/>
      <c r="O861" s="19"/>
      <c r="P861" s="19"/>
      <c r="R861" s="19"/>
      <c r="S861" s="9"/>
    </row>
    <row r="862" spans="4:19" s="18" customFormat="1" x14ac:dyDescent="0.2">
      <c r="D862" s="9"/>
      <c r="G862" s="9"/>
      <c r="J862" s="9"/>
      <c r="N862" s="9"/>
      <c r="O862" s="19"/>
      <c r="P862" s="19"/>
      <c r="R862" s="19"/>
      <c r="S862" s="9"/>
    </row>
    <row r="863" spans="4:19" s="18" customFormat="1" x14ac:dyDescent="0.2">
      <c r="D863" s="9"/>
      <c r="G863" s="9"/>
      <c r="J863" s="9"/>
      <c r="N863" s="9"/>
      <c r="O863" s="19"/>
      <c r="P863" s="19"/>
      <c r="R863" s="19"/>
      <c r="S863" s="9"/>
    </row>
    <row r="864" spans="4:19" s="18" customFormat="1" x14ac:dyDescent="0.2">
      <c r="D864" s="9"/>
      <c r="G864" s="9"/>
      <c r="J864" s="9"/>
      <c r="N864" s="9"/>
      <c r="O864" s="19"/>
      <c r="P864" s="19"/>
      <c r="R864" s="19"/>
      <c r="S864" s="9"/>
    </row>
    <row r="865" spans="4:19" s="18" customFormat="1" x14ac:dyDescent="0.2">
      <c r="D865" s="9"/>
      <c r="G865" s="9"/>
      <c r="J865" s="9"/>
      <c r="N865" s="9"/>
      <c r="O865" s="19"/>
      <c r="P865" s="19"/>
      <c r="R865" s="19"/>
      <c r="S865" s="9"/>
    </row>
    <row r="866" spans="4:19" s="18" customFormat="1" x14ac:dyDescent="0.2">
      <c r="D866" s="9"/>
      <c r="G866" s="9"/>
      <c r="J866" s="9"/>
      <c r="N866" s="9"/>
      <c r="O866" s="19"/>
      <c r="P866" s="19"/>
      <c r="R866" s="19"/>
      <c r="S866" s="9"/>
    </row>
    <row r="867" spans="4:19" s="18" customFormat="1" x14ac:dyDescent="0.2">
      <c r="D867" s="9"/>
      <c r="G867" s="9"/>
      <c r="J867" s="9"/>
      <c r="N867" s="9"/>
      <c r="O867" s="19"/>
      <c r="P867" s="19"/>
      <c r="R867" s="19"/>
      <c r="S867" s="9"/>
    </row>
    <row r="868" spans="4:19" s="18" customFormat="1" x14ac:dyDescent="0.2">
      <c r="D868" s="9"/>
      <c r="G868" s="9"/>
      <c r="J868" s="9"/>
      <c r="N868" s="9"/>
      <c r="O868" s="19"/>
      <c r="P868" s="19"/>
      <c r="R868" s="19"/>
      <c r="S868" s="9"/>
    </row>
    <row r="869" spans="4:19" s="18" customFormat="1" x14ac:dyDescent="0.2">
      <c r="D869" s="9"/>
      <c r="G869" s="9"/>
      <c r="J869" s="9"/>
      <c r="N869" s="9"/>
      <c r="O869" s="19"/>
      <c r="P869" s="19"/>
      <c r="R869" s="19"/>
      <c r="S869" s="9"/>
    </row>
    <row r="870" spans="4:19" s="18" customFormat="1" x14ac:dyDescent="0.2">
      <c r="D870" s="9"/>
      <c r="G870" s="9"/>
      <c r="J870" s="9"/>
      <c r="N870" s="9"/>
      <c r="O870" s="19"/>
      <c r="P870" s="19"/>
      <c r="R870" s="19"/>
      <c r="S870" s="9"/>
    </row>
    <row r="871" spans="4:19" s="18" customFormat="1" x14ac:dyDescent="0.2">
      <c r="D871" s="9"/>
      <c r="G871" s="9"/>
      <c r="J871" s="9"/>
      <c r="N871" s="9"/>
      <c r="O871" s="19"/>
      <c r="P871" s="19"/>
      <c r="R871" s="19"/>
      <c r="S871" s="9"/>
    </row>
    <row r="872" spans="4:19" s="18" customFormat="1" x14ac:dyDescent="0.2">
      <c r="D872" s="9"/>
      <c r="G872" s="9"/>
      <c r="J872" s="9"/>
      <c r="N872" s="9"/>
      <c r="O872" s="19"/>
      <c r="P872" s="19"/>
      <c r="R872" s="19"/>
      <c r="S872" s="9"/>
    </row>
    <row r="873" spans="4:19" s="18" customFormat="1" x14ac:dyDescent="0.2">
      <c r="D873" s="9"/>
      <c r="G873" s="9"/>
      <c r="J873" s="9"/>
      <c r="N873" s="9"/>
      <c r="O873" s="19"/>
      <c r="P873" s="19"/>
      <c r="R873" s="19"/>
      <c r="S873" s="9"/>
    </row>
    <row r="874" spans="4:19" s="18" customFormat="1" x14ac:dyDescent="0.2">
      <c r="D874" s="9"/>
      <c r="G874" s="9"/>
      <c r="J874" s="9"/>
      <c r="N874" s="9"/>
      <c r="O874" s="19"/>
      <c r="P874" s="19"/>
      <c r="R874" s="19"/>
      <c r="S874" s="9"/>
    </row>
    <row r="875" spans="4:19" s="18" customFormat="1" x14ac:dyDescent="0.2">
      <c r="D875" s="9"/>
      <c r="G875" s="9"/>
      <c r="J875" s="9"/>
      <c r="N875" s="9"/>
      <c r="O875" s="19"/>
      <c r="P875" s="19"/>
      <c r="R875" s="19"/>
      <c r="S875" s="9"/>
    </row>
    <row r="876" spans="4:19" s="18" customFormat="1" x14ac:dyDescent="0.2">
      <c r="D876" s="9"/>
      <c r="G876" s="9"/>
      <c r="J876" s="9"/>
      <c r="N876" s="9"/>
      <c r="O876" s="19"/>
      <c r="P876" s="19"/>
      <c r="R876" s="19"/>
      <c r="S876" s="9"/>
    </row>
    <row r="877" spans="4:19" s="18" customFormat="1" x14ac:dyDescent="0.2">
      <c r="D877" s="9"/>
      <c r="G877" s="9"/>
      <c r="J877" s="9"/>
      <c r="N877" s="9"/>
      <c r="O877" s="19"/>
      <c r="P877" s="19"/>
      <c r="R877" s="19"/>
      <c r="S877" s="9"/>
    </row>
    <row r="878" spans="4:19" s="18" customFormat="1" x14ac:dyDescent="0.2">
      <c r="D878" s="9"/>
      <c r="G878" s="9"/>
      <c r="J878" s="9"/>
      <c r="N878" s="9"/>
      <c r="O878" s="19"/>
      <c r="P878" s="19"/>
      <c r="R878" s="19"/>
      <c r="S878" s="9"/>
    </row>
    <row r="879" spans="4:19" s="18" customFormat="1" x14ac:dyDescent="0.2">
      <c r="D879" s="9"/>
      <c r="G879" s="9"/>
      <c r="J879" s="9"/>
      <c r="N879" s="9"/>
      <c r="O879" s="19"/>
      <c r="P879" s="19"/>
      <c r="R879" s="19"/>
      <c r="S879" s="9"/>
    </row>
    <row r="880" spans="4:19" s="18" customFormat="1" x14ac:dyDescent="0.2">
      <c r="D880" s="9"/>
      <c r="G880" s="9"/>
      <c r="J880" s="9"/>
      <c r="N880" s="9"/>
      <c r="O880" s="19"/>
      <c r="P880" s="19"/>
      <c r="R880" s="19"/>
      <c r="S880" s="9"/>
    </row>
    <row r="881" spans="4:19" s="18" customFormat="1" x14ac:dyDescent="0.2">
      <c r="D881" s="9"/>
      <c r="G881" s="9"/>
      <c r="J881" s="9"/>
      <c r="N881" s="9"/>
      <c r="O881" s="19"/>
      <c r="P881" s="19"/>
      <c r="R881" s="19"/>
      <c r="S881" s="9"/>
    </row>
    <row r="882" spans="4:19" s="18" customFormat="1" x14ac:dyDescent="0.2">
      <c r="D882" s="9"/>
      <c r="G882" s="9"/>
      <c r="J882" s="9"/>
      <c r="N882" s="9"/>
      <c r="O882" s="19"/>
      <c r="P882" s="19"/>
      <c r="R882" s="19"/>
      <c r="S882" s="9"/>
    </row>
    <row r="883" spans="4:19" s="18" customFormat="1" x14ac:dyDescent="0.2">
      <c r="D883" s="9"/>
      <c r="G883" s="9"/>
      <c r="J883" s="9"/>
      <c r="N883" s="9"/>
      <c r="O883" s="19"/>
      <c r="P883" s="19"/>
      <c r="R883" s="19"/>
      <c r="S883" s="9"/>
    </row>
    <row r="884" spans="4:19" s="18" customFormat="1" x14ac:dyDescent="0.2">
      <c r="D884" s="9"/>
      <c r="G884" s="9"/>
      <c r="J884" s="9"/>
      <c r="N884" s="9"/>
      <c r="O884" s="19"/>
      <c r="P884" s="19"/>
      <c r="R884" s="19"/>
      <c r="S884" s="9"/>
    </row>
    <row r="885" spans="4:19" s="18" customFormat="1" x14ac:dyDescent="0.2">
      <c r="D885" s="9"/>
      <c r="G885" s="9"/>
      <c r="J885" s="9"/>
      <c r="N885" s="9"/>
      <c r="O885" s="19"/>
      <c r="P885" s="19"/>
      <c r="R885" s="19"/>
      <c r="S885" s="9"/>
    </row>
    <row r="886" spans="4:19" s="18" customFormat="1" x14ac:dyDescent="0.2">
      <c r="D886" s="9"/>
      <c r="G886" s="9"/>
      <c r="J886" s="9"/>
      <c r="N886" s="9"/>
      <c r="O886" s="19"/>
      <c r="P886" s="19"/>
      <c r="R886" s="19"/>
      <c r="S886" s="9"/>
    </row>
    <row r="887" spans="4:19" s="18" customFormat="1" x14ac:dyDescent="0.2">
      <c r="D887" s="9"/>
      <c r="G887" s="9"/>
      <c r="J887" s="9"/>
      <c r="N887" s="9"/>
      <c r="O887" s="19"/>
      <c r="P887" s="19"/>
      <c r="R887" s="19"/>
      <c r="S887" s="9"/>
    </row>
    <row r="888" spans="4:19" s="18" customFormat="1" x14ac:dyDescent="0.2">
      <c r="D888" s="9"/>
      <c r="G888" s="9"/>
      <c r="J888" s="9"/>
      <c r="N888" s="9"/>
      <c r="O888" s="19"/>
      <c r="P888" s="19"/>
      <c r="R888" s="19"/>
      <c r="S888" s="9"/>
    </row>
    <row r="889" spans="4:19" s="18" customFormat="1" x14ac:dyDescent="0.2">
      <c r="D889" s="9"/>
      <c r="G889" s="9"/>
      <c r="J889" s="9"/>
      <c r="N889" s="9"/>
      <c r="O889" s="19"/>
      <c r="P889" s="19"/>
      <c r="R889" s="19"/>
      <c r="S889" s="9"/>
    </row>
    <row r="890" spans="4:19" s="18" customFormat="1" x14ac:dyDescent="0.2">
      <c r="D890" s="9"/>
      <c r="G890" s="9"/>
      <c r="J890" s="9"/>
      <c r="N890" s="9"/>
      <c r="O890" s="19"/>
      <c r="P890" s="19"/>
      <c r="R890" s="19"/>
      <c r="S890" s="9"/>
    </row>
    <row r="891" spans="4:19" s="18" customFormat="1" x14ac:dyDescent="0.2">
      <c r="D891" s="9"/>
      <c r="G891" s="9"/>
      <c r="J891" s="9"/>
      <c r="N891" s="9"/>
      <c r="O891" s="19"/>
      <c r="P891" s="19"/>
      <c r="R891" s="19"/>
      <c r="S891" s="9"/>
    </row>
    <row r="892" spans="4:19" s="18" customFormat="1" x14ac:dyDescent="0.2">
      <c r="D892" s="9"/>
      <c r="G892" s="9"/>
      <c r="J892" s="9"/>
      <c r="N892" s="9"/>
      <c r="O892" s="19"/>
      <c r="P892" s="19"/>
      <c r="R892" s="19"/>
      <c r="S892" s="9"/>
    </row>
    <row r="893" spans="4:19" s="18" customFormat="1" x14ac:dyDescent="0.2">
      <c r="D893" s="9"/>
      <c r="G893" s="9"/>
      <c r="J893" s="9"/>
      <c r="N893" s="9"/>
      <c r="O893" s="19"/>
      <c r="P893" s="19"/>
      <c r="R893" s="19"/>
      <c r="S893" s="9"/>
    </row>
    <row r="894" spans="4:19" s="18" customFormat="1" x14ac:dyDescent="0.2">
      <c r="D894" s="9"/>
      <c r="G894" s="9"/>
      <c r="J894" s="9"/>
      <c r="N894" s="9"/>
      <c r="O894" s="19"/>
      <c r="P894" s="19"/>
      <c r="R894" s="19"/>
      <c r="S894" s="9"/>
    </row>
    <row r="895" spans="4:19" s="18" customFormat="1" x14ac:dyDescent="0.2">
      <c r="D895" s="9"/>
      <c r="G895" s="9"/>
      <c r="J895" s="9"/>
      <c r="N895" s="9"/>
      <c r="O895" s="19"/>
      <c r="P895" s="19"/>
      <c r="R895" s="19"/>
      <c r="S895" s="9"/>
    </row>
    <row r="896" spans="4:19" s="18" customFormat="1" x14ac:dyDescent="0.2">
      <c r="D896" s="9"/>
      <c r="G896" s="9"/>
      <c r="J896" s="9"/>
      <c r="N896" s="9"/>
      <c r="O896" s="19"/>
      <c r="P896" s="19"/>
      <c r="R896" s="19"/>
      <c r="S896" s="9"/>
    </row>
    <row r="897" spans="4:19" s="18" customFormat="1" x14ac:dyDescent="0.2">
      <c r="D897" s="9"/>
      <c r="G897" s="9"/>
      <c r="J897" s="9"/>
      <c r="N897" s="9"/>
      <c r="O897" s="19"/>
      <c r="P897" s="19"/>
      <c r="R897" s="19"/>
      <c r="S897" s="9"/>
    </row>
    <row r="898" spans="4:19" s="18" customFormat="1" x14ac:dyDescent="0.2">
      <c r="D898" s="9"/>
      <c r="G898" s="9"/>
      <c r="J898" s="9"/>
      <c r="N898" s="9"/>
      <c r="O898" s="19"/>
      <c r="P898" s="19"/>
      <c r="R898" s="19"/>
      <c r="S898" s="9"/>
    </row>
    <row r="899" spans="4:19" s="18" customFormat="1" x14ac:dyDescent="0.2">
      <c r="D899" s="9"/>
      <c r="G899" s="9"/>
      <c r="J899" s="9"/>
      <c r="N899" s="9"/>
      <c r="O899" s="19"/>
      <c r="P899" s="19"/>
      <c r="R899" s="19"/>
      <c r="S899" s="9"/>
    </row>
    <row r="900" spans="4:19" s="18" customFormat="1" x14ac:dyDescent="0.2">
      <c r="D900" s="9"/>
      <c r="G900" s="9"/>
      <c r="J900" s="9"/>
      <c r="N900" s="9"/>
      <c r="O900" s="19"/>
      <c r="P900" s="19"/>
      <c r="R900" s="19"/>
      <c r="S900" s="9"/>
    </row>
    <row r="901" spans="4:19" s="18" customFormat="1" x14ac:dyDescent="0.2">
      <c r="D901" s="9"/>
      <c r="G901" s="9"/>
      <c r="J901" s="9"/>
      <c r="N901" s="9"/>
      <c r="O901" s="19"/>
      <c r="P901" s="19"/>
      <c r="R901" s="19"/>
      <c r="S901" s="9"/>
    </row>
    <row r="902" spans="4:19" s="18" customFormat="1" x14ac:dyDescent="0.2">
      <c r="D902" s="9"/>
      <c r="G902" s="9"/>
      <c r="J902" s="9"/>
      <c r="N902" s="9"/>
      <c r="O902" s="19"/>
      <c r="P902" s="19"/>
      <c r="R902" s="19"/>
      <c r="S902" s="9"/>
    </row>
    <row r="903" spans="4:19" s="18" customFormat="1" x14ac:dyDescent="0.2">
      <c r="D903" s="9"/>
      <c r="G903" s="9"/>
      <c r="J903" s="9"/>
      <c r="N903" s="9"/>
      <c r="O903" s="19"/>
      <c r="P903" s="19"/>
      <c r="R903" s="19"/>
      <c r="S903" s="9"/>
    </row>
    <row r="904" spans="4:19" s="18" customFormat="1" x14ac:dyDescent="0.2">
      <c r="D904" s="9"/>
      <c r="G904" s="9"/>
      <c r="J904" s="9"/>
      <c r="N904" s="9"/>
      <c r="O904" s="19"/>
      <c r="P904" s="19"/>
      <c r="R904" s="19"/>
      <c r="S904" s="9"/>
    </row>
    <row r="905" spans="4:19" s="18" customFormat="1" x14ac:dyDescent="0.2">
      <c r="D905" s="9"/>
      <c r="G905" s="9"/>
      <c r="J905" s="9"/>
      <c r="N905" s="9"/>
      <c r="O905" s="19"/>
      <c r="P905" s="19"/>
      <c r="R905" s="19"/>
      <c r="S905" s="9"/>
    </row>
    <row r="906" spans="4:19" s="18" customFormat="1" x14ac:dyDescent="0.2">
      <c r="D906" s="9"/>
      <c r="G906" s="9"/>
      <c r="J906" s="9"/>
      <c r="N906" s="9"/>
      <c r="O906" s="19"/>
      <c r="P906" s="19"/>
      <c r="R906" s="19"/>
      <c r="S906" s="9"/>
    </row>
    <row r="907" spans="4:19" s="18" customFormat="1" x14ac:dyDescent="0.2">
      <c r="D907" s="9"/>
      <c r="G907" s="9"/>
      <c r="J907" s="9"/>
      <c r="N907" s="9"/>
      <c r="O907" s="19"/>
      <c r="P907" s="19"/>
      <c r="R907" s="19"/>
      <c r="S907" s="9"/>
    </row>
    <row r="908" spans="4:19" s="18" customFormat="1" x14ac:dyDescent="0.2">
      <c r="D908" s="9"/>
      <c r="G908" s="9"/>
      <c r="J908" s="9"/>
      <c r="N908" s="9"/>
      <c r="O908" s="19"/>
      <c r="P908" s="19"/>
      <c r="R908" s="19"/>
      <c r="S908" s="9"/>
    </row>
    <row r="909" spans="4:19" s="18" customFormat="1" x14ac:dyDescent="0.2">
      <c r="D909" s="9"/>
      <c r="G909" s="9"/>
      <c r="J909" s="9"/>
      <c r="N909" s="9"/>
      <c r="O909" s="19"/>
      <c r="P909" s="19"/>
      <c r="R909" s="19"/>
      <c r="S909" s="9"/>
    </row>
    <row r="910" spans="4:19" s="18" customFormat="1" x14ac:dyDescent="0.2">
      <c r="D910" s="9"/>
      <c r="G910" s="9"/>
      <c r="J910" s="9"/>
      <c r="N910" s="9"/>
      <c r="O910" s="19"/>
      <c r="P910" s="19"/>
      <c r="R910" s="19"/>
      <c r="S910" s="9"/>
    </row>
    <row r="911" spans="4:19" s="18" customFormat="1" x14ac:dyDescent="0.2">
      <c r="D911" s="9"/>
      <c r="G911" s="9"/>
      <c r="J911" s="9"/>
      <c r="N911" s="9"/>
      <c r="O911" s="19"/>
      <c r="P911" s="19"/>
      <c r="R911" s="19"/>
      <c r="S911" s="9"/>
    </row>
    <row r="912" spans="4:19" s="18" customFormat="1" x14ac:dyDescent="0.2">
      <c r="D912" s="9"/>
      <c r="G912" s="9"/>
      <c r="J912" s="9"/>
      <c r="N912" s="9"/>
      <c r="O912" s="19"/>
      <c r="P912" s="19"/>
      <c r="R912" s="19"/>
      <c r="S912" s="9"/>
    </row>
    <row r="913" spans="4:19" s="18" customFormat="1" x14ac:dyDescent="0.2">
      <c r="D913" s="9"/>
      <c r="G913" s="9"/>
      <c r="J913" s="9"/>
      <c r="N913" s="9"/>
      <c r="O913" s="19"/>
      <c r="P913" s="19"/>
      <c r="R913" s="19"/>
      <c r="S913" s="9"/>
    </row>
    <row r="914" spans="4:19" s="18" customFormat="1" x14ac:dyDescent="0.2">
      <c r="D914" s="9"/>
      <c r="G914" s="9"/>
      <c r="J914" s="9"/>
      <c r="N914" s="9"/>
      <c r="O914" s="19"/>
      <c r="P914" s="19"/>
      <c r="R914" s="19"/>
      <c r="S914" s="9"/>
    </row>
    <row r="915" spans="4:19" s="18" customFormat="1" x14ac:dyDescent="0.2">
      <c r="D915" s="9"/>
      <c r="G915" s="9"/>
      <c r="J915" s="9"/>
      <c r="N915" s="9"/>
      <c r="O915" s="19"/>
      <c r="P915" s="19"/>
      <c r="R915" s="19"/>
      <c r="S915" s="9"/>
    </row>
    <row r="916" spans="4:19" s="18" customFormat="1" x14ac:dyDescent="0.2">
      <c r="D916" s="9"/>
      <c r="G916" s="9"/>
      <c r="J916" s="9"/>
      <c r="N916" s="9"/>
      <c r="O916" s="19"/>
      <c r="P916" s="19"/>
      <c r="R916" s="19"/>
      <c r="S916" s="9"/>
    </row>
    <row r="917" spans="4:19" s="18" customFormat="1" x14ac:dyDescent="0.2">
      <c r="D917" s="9"/>
      <c r="G917" s="9"/>
      <c r="J917" s="9"/>
      <c r="N917" s="9"/>
      <c r="O917" s="19"/>
      <c r="P917" s="19"/>
      <c r="R917" s="19"/>
      <c r="S917" s="9"/>
    </row>
    <row r="918" spans="4:19" s="18" customFormat="1" x14ac:dyDescent="0.2">
      <c r="D918" s="9"/>
      <c r="G918" s="9"/>
      <c r="J918" s="9"/>
      <c r="N918" s="9"/>
      <c r="O918" s="19"/>
      <c r="P918" s="19"/>
      <c r="R918" s="19"/>
      <c r="S918" s="9"/>
    </row>
    <row r="919" spans="4:19" s="18" customFormat="1" x14ac:dyDescent="0.2">
      <c r="D919" s="9"/>
      <c r="G919" s="9"/>
      <c r="J919" s="9"/>
      <c r="N919" s="9"/>
      <c r="O919" s="19"/>
      <c r="P919" s="19"/>
      <c r="R919" s="19"/>
      <c r="S919" s="9"/>
    </row>
    <row r="920" spans="4:19" s="18" customFormat="1" x14ac:dyDescent="0.2">
      <c r="D920" s="9"/>
      <c r="G920" s="9"/>
      <c r="J920" s="9"/>
      <c r="N920" s="9"/>
      <c r="O920" s="19"/>
      <c r="P920" s="19"/>
      <c r="R920" s="19"/>
      <c r="S920" s="9"/>
    </row>
    <row r="921" spans="4:19" s="18" customFormat="1" x14ac:dyDescent="0.2">
      <c r="D921" s="9"/>
      <c r="G921" s="9"/>
      <c r="J921" s="9"/>
      <c r="N921" s="9"/>
      <c r="O921" s="19"/>
      <c r="P921" s="19"/>
      <c r="R921" s="19"/>
      <c r="S921" s="9"/>
    </row>
    <row r="922" spans="4:19" s="18" customFormat="1" x14ac:dyDescent="0.2">
      <c r="D922" s="9"/>
      <c r="G922" s="9"/>
      <c r="J922" s="9"/>
      <c r="N922" s="9"/>
      <c r="O922" s="19"/>
      <c r="P922" s="19"/>
      <c r="R922" s="19"/>
      <c r="S922" s="9"/>
    </row>
    <row r="923" spans="4:19" s="18" customFormat="1" x14ac:dyDescent="0.2">
      <c r="D923" s="9"/>
      <c r="G923" s="9"/>
      <c r="J923" s="9"/>
      <c r="N923" s="9"/>
      <c r="O923" s="19"/>
      <c r="P923" s="19"/>
      <c r="R923" s="19"/>
      <c r="S923" s="9"/>
    </row>
    <row r="924" spans="4:19" s="18" customFormat="1" x14ac:dyDescent="0.2">
      <c r="D924" s="9"/>
      <c r="G924" s="9"/>
      <c r="J924" s="9"/>
      <c r="N924" s="9"/>
      <c r="O924" s="19"/>
      <c r="P924" s="19"/>
      <c r="R924" s="19"/>
      <c r="S924" s="9"/>
    </row>
    <row r="925" spans="4:19" s="18" customFormat="1" x14ac:dyDescent="0.2">
      <c r="D925" s="9"/>
      <c r="G925" s="9"/>
      <c r="J925" s="9"/>
      <c r="N925" s="9"/>
      <c r="O925" s="19"/>
      <c r="P925" s="19"/>
      <c r="R925" s="19"/>
      <c r="S925" s="9"/>
    </row>
    <row r="926" spans="4:19" s="18" customFormat="1" x14ac:dyDescent="0.2">
      <c r="D926" s="9"/>
      <c r="G926" s="9"/>
      <c r="J926" s="9"/>
      <c r="N926" s="9"/>
      <c r="O926" s="19"/>
      <c r="P926" s="19"/>
      <c r="R926" s="19"/>
      <c r="S926" s="9"/>
    </row>
    <row r="927" spans="4:19" s="18" customFormat="1" x14ac:dyDescent="0.2">
      <c r="D927" s="9"/>
      <c r="G927" s="9"/>
      <c r="J927" s="9"/>
      <c r="N927" s="9"/>
      <c r="O927" s="19"/>
      <c r="P927" s="19"/>
      <c r="R927" s="19"/>
      <c r="S927" s="9"/>
    </row>
    <row r="928" spans="4:19" s="18" customFormat="1" x14ac:dyDescent="0.2">
      <c r="D928" s="9"/>
      <c r="G928" s="9"/>
      <c r="J928" s="9"/>
      <c r="N928" s="9"/>
      <c r="O928" s="19"/>
      <c r="P928" s="19"/>
      <c r="R928" s="19"/>
      <c r="S928" s="9"/>
    </row>
    <row r="929" spans="4:19" s="18" customFormat="1" x14ac:dyDescent="0.2">
      <c r="D929" s="9"/>
      <c r="G929" s="9"/>
      <c r="J929" s="9"/>
      <c r="N929" s="9"/>
      <c r="O929" s="19"/>
      <c r="P929" s="19"/>
      <c r="R929" s="19"/>
      <c r="S929" s="9"/>
    </row>
    <row r="930" spans="4:19" s="18" customFormat="1" x14ac:dyDescent="0.2">
      <c r="D930" s="9"/>
      <c r="G930" s="9"/>
      <c r="J930" s="9"/>
      <c r="N930" s="9"/>
      <c r="O930" s="19"/>
      <c r="P930" s="19"/>
      <c r="R930" s="19"/>
      <c r="S930" s="9"/>
    </row>
    <row r="931" spans="4:19" s="18" customFormat="1" x14ac:dyDescent="0.2">
      <c r="D931" s="9"/>
      <c r="G931" s="9"/>
      <c r="J931" s="9"/>
      <c r="N931" s="9"/>
      <c r="O931" s="19"/>
      <c r="P931" s="19"/>
      <c r="R931" s="19"/>
      <c r="S931" s="9"/>
    </row>
    <row r="932" spans="4:19" s="18" customFormat="1" x14ac:dyDescent="0.2">
      <c r="D932" s="9"/>
      <c r="G932" s="9"/>
      <c r="J932" s="9"/>
      <c r="N932" s="9"/>
      <c r="O932" s="19"/>
      <c r="P932" s="19"/>
      <c r="R932" s="19"/>
      <c r="S932" s="9"/>
    </row>
    <row r="933" spans="4:19" s="18" customFormat="1" x14ac:dyDescent="0.2">
      <c r="D933" s="9"/>
      <c r="G933" s="9"/>
      <c r="J933" s="9"/>
      <c r="N933" s="9"/>
      <c r="O933" s="19"/>
      <c r="P933" s="19"/>
      <c r="R933" s="19"/>
      <c r="S933" s="9"/>
    </row>
    <row r="934" spans="4:19" s="18" customFormat="1" x14ac:dyDescent="0.2">
      <c r="D934" s="9"/>
      <c r="G934" s="9"/>
      <c r="J934" s="9"/>
      <c r="N934" s="9"/>
      <c r="O934" s="19"/>
      <c r="P934" s="19"/>
      <c r="R934" s="19"/>
      <c r="S934" s="9"/>
    </row>
    <row r="935" spans="4:19" s="18" customFormat="1" x14ac:dyDescent="0.2">
      <c r="D935" s="9"/>
      <c r="G935" s="9"/>
      <c r="J935" s="9"/>
      <c r="N935" s="9"/>
      <c r="O935" s="19"/>
      <c r="P935" s="19"/>
      <c r="R935" s="19"/>
      <c r="S935" s="9"/>
    </row>
    <row r="936" spans="4:19" s="18" customFormat="1" x14ac:dyDescent="0.2">
      <c r="D936" s="9"/>
      <c r="G936" s="9"/>
      <c r="J936" s="9"/>
      <c r="N936" s="9"/>
      <c r="O936" s="19"/>
      <c r="P936" s="19"/>
      <c r="R936" s="19"/>
      <c r="S936" s="9"/>
    </row>
    <row r="937" spans="4:19" s="18" customFormat="1" x14ac:dyDescent="0.2">
      <c r="D937" s="9"/>
      <c r="G937" s="9"/>
      <c r="J937" s="9"/>
      <c r="N937" s="9"/>
      <c r="O937" s="19"/>
      <c r="P937" s="19"/>
      <c r="R937" s="19"/>
      <c r="S937" s="9"/>
    </row>
    <row r="938" spans="4:19" s="18" customFormat="1" x14ac:dyDescent="0.2">
      <c r="D938" s="9"/>
      <c r="G938" s="9"/>
      <c r="J938" s="9"/>
      <c r="N938" s="9"/>
      <c r="O938" s="19"/>
      <c r="P938" s="19"/>
      <c r="R938" s="19"/>
      <c r="S938" s="9"/>
    </row>
    <row r="939" spans="4:19" s="18" customFormat="1" x14ac:dyDescent="0.2">
      <c r="D939" s="9"/>
      <c r="G939" s="9"/>
      <c r="J939" s="9"/>
      <c r="N939" s="9"/>
      <c r="O939" s="19"/>
      <c r="P939" s="19"/>
      <c r="R939" s="19"/>
      <c r="S939" s="9"/>
    </row>
    <row r="940" spans="4:19" s="18" customFormat="1" x14ac:dyDescent="0.2">
      <c r="D940" s="9"/>
      <c r="G940" s="9"/>
      <c r="J940" s="9"/>
      <c r="N940" s="9"/>
      <c r="O940" s="19"/>
      <c r="P940" s="19"/>
      <c r="R940" s="19"/>
      <c r="S940" s="9"/>
    </row>
    <row r="941" spans="4:19" s="18" customFormat="1" x14ac:dyDescent="0.2">
      <c r="D941" s="9"/>
      <c r="G941" s="9"/>
      <c r="J941" s="9"/>
      <c r="N941" s="9"/>
      <c r="O941" s="19"/>
      <c r="P941" s="19"/>
      <c r="R941" s="19"/>
      <c r="S941" s="9"/>
    </row>
    <row r="942" spans="4:19" s="18" customFormat="1" x14ac:dyDescent="0.2">
      <c r="D942" s="9"/>
      <c r="G942" s="9"/>
      <c r="J942" s="9"/>
      <c r="N942" s="9"/>
      <c r="O942" s="19"/>
      <c r="P942" s="19"/>
      <c r="R942" s="19"/>
      <c r="S942" s="9"/>
    </row>
    <row r="943" spans="4:19" s="18" customFormat="1" x14ac:dyDescent="0.2">
      <c r="D943" s="9"/>
      <c r="G943" s="9"/>
      <c r="J943" s="9"/>
      <c r="N943" s="9"/>
      <c r="O943" s="19"/>
      <c r="P943" s="19"/>
      <c r="R943" s="19"/>
      <c r="S943" s="9"/>
    </row>
    <row r="944" spans="4:19" s="18" customFormat="1" x14ac:dyDescent="0.2">
      <c r="D944" s="9"/>
      <c r="G944" s="9"/>
      <c r="J944" s="9"/>
      <c r="N944" s="9"/>
      <c r="O944" s="19"/>
      <c r="P944" s="19"/>
      <c r="R944" s="19"/>
      <c r="S944" s="9"/>
    </row>
    <row r="945" spans="4:19" s="18" customFormat="1" x14ac:dyDescent="0.2">
      <c r="D945" s="9"/>
      <c r="G945" s="9"/>
      <c r="J945" s="9"/>
      <c r="N945" s="9"/>
      <c r="O945" s="19"/>
      <c r="P945" s="19"/>
      <c r="R945" s="19"/>
      <c r="S945" s="9"/>
    </row>
    <row r="946" spans="4:19" s="18" customFormat="1" x14ac:dyDescent="0.2">
      <c r="D946" s="9"/>
      <c r="G946" s="9"/>
      <c r="J946" s="9"/>
      <c r="N946" s="9"/>
      <c r="O946" s="19"/>
      <c r="P946" s="19"/>
      <c r="R946" s="19"/>
      <c r="S946" s="9"/>
    </row>
    <row r="947" spans="4:19" s="18" customFormat="1" x14ac:dyDescent="0.2">
      <c r="D947" s="9"/>
      <c r="G947" s="9"/>
      <c r="J947" s="9"/>
      <c r="N947" s="9"/>
      <c r="O947" s="19"/>
      <c r="P947" s="19"/>
      <c r="R947" s="19"/>
      <c r="S947" s="9"/>
    </row>
    <row r="948" spans="4:19" s="18" customFormat="1" x14ac:dyDescent="0.2">
      <c r="D948" s="9"/>
      <c r="G948" s="9"/>
      <c r="J948" s="9"/>
      <c r="N948" s="9"/>
      <c r="O948" s="19"/>
      <c r="P948" s="19"/>
      <c r="R948" s="19"/>
      <c r="S948" s="9"/>
    </row>
    <row r="949" spans="4:19" s="18" customFormat="1" x14ac:dyDescent="0.2">
      <c r="D949" s="9"/>
      <c r="G949" s="9"/>
      <c r="J949" s="9"/>
      <c r="N949" s="9"/>
      <c r="O949" s="19"/>
      <c r="P949" s="19"/>
      <c r="R949" s="19"/>
      <c r="S949" s="9"/>
    </row>
    <row r="950" spans="4:19" s="18" customFormat="1" x14ac:dyDescent="0.2">
      <c r="D950" s="9"/>
      <c r="G950" s="9"/>
      <c r="J950" s="9"/>
      <c r="N950" s="9"/>
      <c r="O950" s="19"/>
      <c r="P950" s="19"/>
      <c r="R950" s="19"/>
      <c r="S950" s="9"/>
    </row>
    <row r="951" spans="4:19" s="18" customFormat="1" x14ac:dyDescent="0.2">
      <c r="D951" s="9"/>
      <c r="G951" s="9"/>
      <c r="J951" s="9"/>
      <c r="N951" s="9"/>
      <c r="O951" s="19"/>
      <c r="P951" s="19"/>
      <c r="R951" s="19"/>
      <c r="S951" s="9"/>
    </row>
    <row r="952" spans="4:19" s="18" customFormat="1" x14ac:dyDescent="0.2">
      <c r="D952" s="9"/>
      <c r="G952" s="9"/>
      <c r="J952" s="9"/>
      <c r="N952" s="9"/>
      <c r="O952" s="19"/>
      <c r="P952" s="19"/>
      <c r="R952" s="19"/>
      <c r="S952" s="9"/>
    </row>
    <row r="953" spans="4:19" s="18" customFormat="1" x14ac:dyDescent="0.2">
      <c r="D953" s="9"/>
      <c r="G953" s="9"/>
      <c r="J953" s="9"/>
      <c r="N953" s="9"/>
      <c r="O953" s="19"/>
      <c r="P953" s="19"/>
      <c r="R953" s="19"/>
      <c r="S953" s="9"/>
    </row>
    <row r="954" spans="4:19" s="18" customFormat="1" x14ac:dyDescent="0.2">
      <c r="D954" s="9"/>
      <c r="G954" s="9"/>
      <c r="J954" s="9"/>
      <c r="N954" s="9"/>
      <c r="O954" s="19"/>
      <c r="P954" s="19"/>
      <c r="R954" s="19"/>
      <c r="S954" s="9"/>
    </row>
    <row r="955" spans="4:19" s="18" customFormat="1" x14ac:dyDescent="0.2">
      <c r="D955" s="9"/>
      <c r="G955" s="9"/>
      <c r="J955" s="9"/>
      <c r="N955" s="9"/>
      <c r="O955" s="19"/>
      <c r="P955" s="19"/>
      <c r="R955" s="19"/>
      <c r="S955" s="9"/>
    </row>
    <row r="956" spans="4:19" s="18" customFormat="1" x14ac:dyDescent="0.2">
      <c r="D956" s="9"/>
      <c r="G956" s="9"/>
      <c r="J956" s="9"/>
      <c r="N956" s="9"/>
      <c r="O956" s="19"/>
      <c r="P956" s="19"/>
      <c r="R956" s="19"/>
      <c r="S956" s="9"/>
    </row>
    <row r="957" spans="4:19" s="18" customFormat="1" x14ac:dyDescent="0.2">
      <c r="D957" s="9"/>
      <c r="G957" s="9"/>
      <c r="J957" s="9"/>
      <c r="N957" s="9"/>
      <c r="O957" s="19"/>
      <c r="P957" s="19"/>
      <c r="R957" s="19"/>
      <c r="S957" s="9"/>
    </row>
    <row r="958" spans="4:19" s="18" customFormat="1" x14ac:dyDescent="0.2">
      <c r="D958" s="9"/>
      <c r="G958" s="9"/>
      <c r="J958" s="9"/>
      <c r="N958" s="9"/>
      <c r="O958" s="19"/>
      <c r="P958" s="19"/>
      <c r="R958" s="19"/>
      <c r="S958" s="9"/>
    </row>
    <row r="959" spans="4:19" s="18" customFormat="1" x14ac:dyDescent="0.2">
      <c r="D959" s="9"/>
      <c r="G959" s="9"/>
      <c r="J959" s="9"/>
      <c r="N959" s="9"/>
      <c r="O959" s="19"/>
      <c r="P959" s="19"/>
      <c r="R959" s="19"/>
      <c r="S959" s="9"/>
    </row>
    <row r="960" spans="4:19" s="18" customFormat="1" x14ac:dyDescent="0.2">
      <c r="D960" s="9"/>
      <c r="G960" s="9"/>
      <c r="J960" s="9"/>
      <c r="N960" s="9"/>
      <c r="O960" s="19"/>
      <c r="P960" s="19"/>
      <c r="R960" s="19"/>
      <c r="S960" s="9"/>
    </row>
    <row r="961" spans="4:19" s="18" customFormat="1" x14ac:dyDescent="0.2">
      <c r="D961" s="9"/>
      <c r="G961" s="9"/>
      <c r="J961" s="9"/>
      <c r="N961" s="9"/>
      <c r="O961" s="19"/>
      <c r="P961" s="19"/>
      <c r="R961" s="19"/>
      <c r="S961" s="9"/>
    </row>
    <row r="962" spans="4:19" s="18" customFormat="1" x14ac:dyDescent="0.2">
      <c r="D962" s="9"/>
      <c r="G962" s="9"/>
      <c r="J962" s="9"/>
      <c r="N962" s="9"/>
      <c r="O962" s="19"/>
      <c r="P962" s="19"/>
      <c r="R962" s="19"/>
      <c r="S962" s="9"/>
    </row>
    <row r="963" spans="4:19" s="18" customFormat="1" x14ac:dyDescent="0.2">
      <c r="D963" s="9"/>
      <c r="G963" s="9"/>
      <c r="J963" s="9"/>
      <c r="N963" s="9"/>
      <c r="O963" s="19"/>
      <c r="P963" s="19"/>
      <c r="R963" s="19"/>
      <c r="S963" s="9"/>
    </row>
    <row r="964" spans="4:19" s="18" customFormat="1" x14ac:dyDescent="0.2">
      <c r="D964" s="9"/>
      <c r="G964" s="9"/>
      <c r="J964" s="9"/>
      <c r="N964" s="9"/>
      <c r="O964" s="19"/>
      <c r="P964" s="19"/>
      <c r="R964" s="19"/>
      <c r="S964" s="9"/>
    </row>
    <row r="965" spans="4:19" s="18" customFormat="1" x14ac:dyDescent="0.2">
      <c r="D965" s="9"/>
      <c r="G965" s="9"/>
      <c r="J965" s="9"/>
      <c r="N965" s="9"/>
      <c r="O965" s="19"/>
      <c r="P965" s="19"/>
      <c r="R965" s="19"/>
      <c r="S965" s="9"/>
    </row>
    <row r="966" spans="4:19" s="18" customFormat="1" x14ac:dyDescent="0.2">
      <c r="D966" s="9"/>
      <c r="G966" s="9"/>
      <c r="J966" s="9"/>
      <c r="N966" s="9"/>
      <c r="O966" s="19"/>
      <c r="P966" s="19"/>
      <c r="R966" s="19"/>
      <c r="S966" s="9"/>
    </row>
    <row r="967" spans="4:19" s="18" customFormat="1" x14ac:dyDescent="0.2">
      <c r="D967" s="9"/>
      <c r="G967" s="9"/>
      <c r="J967" s="9"/>
      <c r="N967" s="9"/>
      <c r="O967" s="19"/>
      <c r="P967" s="19"/>
      <c r="R967" s="19"/>
      <c r="S967" s="9"/>
    </row>
    <row r="968" spans="4:19" s="18" customFormat="1" x14ac:dyDescent="0.2">
      <c r="D968" s="9"/>
      <c r="G968" s="9"/>
      <c r="J968" s="9"/>
      <c r="N968" s="9"/>
      <c r="O968" s="19"/>
      <c r="P968" s="19"/>
      <c r="R968" s="19"/>
      <c r="S968" s="9"/>
    </row>
    <row r="969" spans="4:19" s="18" customFormat="1" x14ac:dyDescent="0.2">
      <c r="D969" s="9"/>
      <c r="G969" s="9"/>
      <c r="J969" s="9"/>
      <c r="N969" s="9"/>
      <c r="O969" s="19"/>
      <c r="P969" s="19"/>
      <c r="R969" s="19"/>
      <c r="S969" s="9"/>
    </row>
    <row r="970" spans="4:19" s="18" customFormat="1" x14ac:dyDescent="0.2">
      <c r="D970" s="9"/>
      <c r="G970" s="9"/>
      <c r="J970" s="9"/>
      <c r="N970" s="9"/>
      <c r="O970" s="19"/>
      <c r="P970" s="19"/>
      <c r="R970" s="19"/>
      <c r="S970" s="9"/>
    </row>
    <row r="971" spans="4:19" s="18" customFormat="1" x14ac:dyDescent="0.2">
      <c r="D971" s="9"/>
      <c r="G971" s="9"/>
      <c r="J971" s="9"/>
      <c r="N971" s="9"/>
      <c r="O971" s="19"/>
      <c r="P971" s="19"/>
      <c r="R971" s="19"/>
      <c r="S971" s="9"/>
    </row>
    <row r="972" spans="4:19" s="18" customFormat="1" x14ac:dyDescent="0.2">
      <c r="D972" s="9"/>
      <c r="G972" s="9"/>
      <c r="J972" s="9"/>
      <c r="N972" s="9"/>
      <c r="O972" s="19"/>
      <c r="P972" s="19"/>
      <c r="R972" s="19"/>
      <c r="S972" s="9"/>
    </row>
    <row r="973" spans="4:19" s="18" customFormat="1" x14ac:dyDescent="0.2">
      <c r="D973" s="9"/>
      <c r="G973" s="9"/>
      <c r="J973" s="9"/>
      <c r="N973" s="9"/>
      <c r="O973" s="19"/>
      <c r="P973" s="19"/>
      <c r="R973" s="19"/>
      <c r="S973" s="9"/>
    </row>
    <row r="974" spans="4:19" s="18" customFormat="1" x14ac:dyDescent="0.2">
      <c r="D974" s="9"/>
      <c r="G974" s="9"/>
      <c r="J974" s="9"/>
      <c r="N974" s="9"/>
      <c r="O974" s="19"/>
      <c r="P974" s="19"/>
      <c r="R974" s="19"/>
      <c r="S974" s="9"/>
    </row>
    <row r="975" spans="4:19" s="18" customFormat="1" x14ac:dyDescent="0.2">
      <c r="D975" s="9"/>
      <c r="G975" s="9"/>
      <c r="J975" s="9"/>
      <c r="N975" s="9"/>
      <c r="O975" s="19"/>
      <c r="P975" s="19"/>
      <c r="R975" s="19"/>
      <c r="S975" s="9"/>
    </row>
    <row r="976" spans="4:19" s="18" customFormat="1" x14ac:dyDescent="0.2">
      <c r="D976" s="9"/>
      <c r="G976" s="9"/>
      <c r="J976" s="9"/>
      <c r="N976" s="9"/>
      <c r="O976" s="19"/>
      <c r="P976" s="19"/>
      <c r="R976" s="19"/>
      <c r="S976" s="9"/>
    </row>
    <row r="977" spans="4:19" s="18" customFormat="1" x14ac:dyDescent="0.2">
      <c r="D977" s="9"/>
      <c r="G977" s="9"/>
      <c r="J977" s="9"/>
      <c r="N977" s="9"/>
      <c r="O977" s="19"/>
      <c r="P977" s="19"/>
      <c r="R977" s="19"/>
      <c r="S977" s="9"/>
    </row>
    <row r="978" spans="4:19" s="18" customFormat="1" x14ac:dyDescent="0.2">
      <c r="D978" s="9"/>
      <c r="G978" s="9"/>
      <c r="J978" s="9"/>
      <c r="N978" s="9"/>
      <c r="O978" s="19"/>
      <c r="P978" s="19"/>
      <c r="R978" s="19"/>
      <c r="S978" s="9"/>
    </row>
    <row r="979" spans="4:19" s="18" customFormat="1" x14ac:dyDescent="0.2">
      <c r="D979" s="9"/>
      <c r="G979" s="9"/>
      <c r="J979" s="9"/>
      <c r="N979" s="9"/>
      <c r="O979" s="19"/>
      <c r="P979" s="19"/>
      <c r="R979" s="19"/>
      <c r="S979" s="9"/>
    </row>
    <row r="980" spans="4:19" s="18" customFormat="1" x14ac:dyDescent="0.2">
      <c r="D980" s="9"/>
      <c r="G980" s="9"/>
      <c r="J980" s="9"/>
      <c r="N980" s="9"/>
      <c r="O980" s="19"/>
      <c r="P980" s="19"/>
      <c r="R980" s="19"/>
      <c r="S980" s="9"/>
    </row>
    <row r="981" spans="4:19" s="18" customFormat="1" x14ac:dyDescent="0.2">
      <c r="D981" s="9"/>
      <c r="G981" s="9"/>
      <c r="J981" s="9"/>
      <c r="N981" s="9"/>
      <c r="O981" s="19"/>
      <c r="P981" s="19"/>
      <c r="R981" s="19"/>
      <c r="S981" s="9"/>
    </row>
    <row r="982" spans="4:19" s="18" customFormat="1" x14ac:dyDescent="0.2">
      <c r="D982" s="9"/>
      <c r="G982" s="9"/>
      <c r="J982" s="9"/>
      <c r="N982" s="9"/>
      <c r="O982" s="19"/>
      <c r="P982" s="19"/>
      <c r="R982" s="19"/>
      <c r="S982" s="9"/>
    </row>
    <row r="983" spans="4:19" s="18" customFormat="1" x14ac:dyDescent="0.2">
      <c r="D983" s="9"/>
      <c r="G983" s="9"/>
      <c r="J983" s="9"/>
      <c r="N983" s="9"/>
      <c r="O983" s="19"/>
      <c r="P983" s="19"/>
      <c r="R983" s="19"/>
      <c r="S983" s="9"/>
    </row>
    <row r="984" spans="4:19" s="18" customFormat="1" x14ac:dyDescent="0.2">
      <c r="D984" s="9"/>
      <c r="G984" s="9"/>
      <c r="J984" s="9"/>
      <c r="N984" s="9"/>
      <c r="O984" s="19"/>
      <c r="P984" s="19"/>
      <c r="R984" s="19"/>
      <c r="S984" s="9"/>
    </row>
    <row r="985" spans="4:19" s="18" customFormat="1" x14ac:dyDescent="0.2">
      <c r="D985" s="9"/>
      <c r="G985" s="9"/>
      <c r="J985" s="9"/>
      <c r="N985" s="9"/>
      <c r="O985" s="19"/>
      <c r="P985" s="19"/>
      <c r="R985" s="19"/>
      <c r="S985" s="9"/>
    </row>
    <row r="986" spans="4:19" s="18" customFormat="1" x14ac:dyDescent="0.2">
      <c r="D986" s="9"/>
      <c r="G986" s="9"/>
      <c r="J986" s="9"/>
      <c r="N986" s="9"/>
      <c r="O986" s="19"/>
      <c r="P986" s="19"/>
      <c r="R986" s="19"/>
      <c r="S986" s="9"/>
    </row>
    <row r="987" spans="4:19" s="18" customFormat="1" x14ac:dyDescent="0.2">
      <c r="D987" s="9"/>
      <c r="G987" s="9"/>
      <c r="J987" s="9"/>
      <c r="N987" s="9"/>
      <c r="O987" s="19"/>
      <c r="P987" s="19"/>
      <c r="R987" s="19"/>
      <c r="S987" s="9"/>
    </row>
    <row r="988" spans="4:19" s="18" customFormat="1" x14ac:dyDescent="0.2">
      <c r="D988" s="9"/>
      <c r="G988" s="9"/>
      <c r="J988" s="9"/>
      <c r="N988" s="9"/>
      <c r="O988" s="19"/>
      <c r="P988" s="19"/>
      <c r="R988" s="19"/>
      <c r="S988" s="9"/>
    </row>
    <row r="989" spans="4:19" s="18" customFormat="1" x14ac:dyDescent="0.2">
      <c r="D989" s="9"/>
      <c r="G989" s="9"/>
      <c r="J989" s="9"/>
      <c r="N989" s="9"/>
      <c r="O989" s="19"/>
      <c r="P989" s="19"/>
      <c r="R989" s="19"/>
      <c r="S989" s="9"/>
    </row>
    <row r="990" spans="4:19" s="18" customFormat="1" x14ac:dyDescent="0.2">
      <c r="D990" s="9"/>
      <c r="G990" s="9"/>
      <c r="J990" s="9"/>
      <c r="N990" s="9"/>
      <c r="O990" s="19"/>
      <c r="P990" s="19"/>
      <c r="R990" s="19"/>
      <c r="S990" s="9"/>
    </row>
    <row r="991" spans="4:19" s="18" customFormat="1" x14ac:dyDescent="0.2">
      <c r="D991" s="9"/>
      <c r="G991" s="9"/>
      <c r="J991" s="9"/>
      <c r="N991" s="9"/>
      <c r="O991" s="19"/>
      <c r="P991" s="19"/>
      <c r="R991" s="19"/>
      <c r="S991" s="9"/>
    </row>
    <row r="992" spans="4:19" s="18" customFormat="1" x14ac:dyDescent="0.2">
      <c r="D992" s="9"/>
      <c r="G992" s="9"/>
      <c r="J992" s="9"/>
      <c r="N992" s="9"/>
      <c r="O992" s="19"/>
      <c r="P992" s="19"/>
      <c r="R992" s="19"/>
      <c r="S992" s="9"/>
    </row>
    <row r="993" spans="4:19" s="18" customFormat="1" x14ac:dyDescent="0.2">
      <c r="D993" s="9"/>
      <c r="G993" s="9"/>
      <c r="J993" s="9"/>
      <c r="N993" s="9"/>
      <c r="O993" s="19"/>
      <c r="P993" s="19"/>
      <c r="R993" s="19"/>
      <c r="S993" s="9"/>
    </row>
    <row r="994" spans="4:19" s="18" customFormat="1" x14ac:dyDescent="0.2">
      <c r="D994" s="9"/>
      <c r="G994" s="9"/>
      <c r="J994" s="9"/>
      <c r="N994" s="9"/>
      <c r="O994" s="19"/>
      <c r="P994" s="19"/>
      <c r="R994" s="19"/>
      <c r="S994" s="9"/>
    </row>
    <row r="995" spans="4:19" s="18" customFormat="1" x14ac:dyDescent="0.2">
      <c r="D995" s="9"/>
      <c r="G995" s="9"/>
      <c r="J995" s="9"/>
      <c r="N995" s="9"/>
      <c r="O995" s="19"/>
      <c r="P995" s="19"/>
      <c r="R995" s="19"/>
      <c r="S995" s="9"/>
    </row>
    <row r="996" spans="4:19" s="18" customFormat="1" x14ac:dyDescent="0.2">
      <c r="D996" s="9"/>
      <c r="G996" s="9"/>
      <c r="J996" s="9"/>
      <c r="N996" s="9"/>
      <c r="O996" s="19"/>
      <c r="P996" s="19"/>
      <c r="R996" s="19"/>
      <c r="S996" s="9"/>
    </row>
    <row r="997" spans="4:19" s="18" customFormat="1" x14ac:dyDescent="0.2">
      <c r="D997" s="9"/>
      <c r="G997" s="9"/>
      <c r="J997" s="9"/>
      <c r="N997" s="9"/>
      <c r="O997" s="19"/>
      <c r="P997" s="19"/>
      <c r="R997" s="19"/>
      <c r="S997" s="9"/>
    </row>
    <row r="998" spans="4:19" s="18" customFormat="1" x14ac:dyDescent="0.2">
      <c r="D998" s="9"/>
      <c r="G998" s="9"/>
      <c r="J998" s="9"/>
      <c r="N998" s="9"/>
      <c r="O998" s="19"/>
      <c r="P998" s="19"/>
      <c r="R998" s="19"/>
      <c r="S998" s="9"/>
    </row>
    <row r="999" spans="4:19" s="18" customFormat="1" x14ac:dyDescent="0.2">
      <c r="D999" s="9"/>
      <c r="G999" s="9"/>
      <c r="J999" s="9"/>
      <c r="N999" s="9"/>
      <c r="O999" s="19"/>
      <c r="P999" s="19"/>
      <c r="R999" s="19"/>
      <c r="S999" s="9"/>
    </row>
    <row r="1000" spans="4:19" s="18" customFormat="1" x14ac:dyDescent="0.2">
      <c r="D1000" s="9"/>
      <c r="G1000" s="9"/>
      <c r="J1000" s="9"/>
      <c r="N1000" s="9"/>
      <c r="O1000" s="19"/>
      <c r="P1000" s="19"/>
      <c r="R1000" s="19"/>
      <c r="S1000" s="9"/>
    </row>
    <row r="1001" spans="4:19" s="18" customFormat="1" x14ac:dyDescent="0.2">
      <c r="D1001" s="9"/>
      <c r="G1001" s="9"/>
      <c r="J1001" s="9"/>
      <c r="N1001" s="9"/>
      <c r="O1001" s="19"/>
      <c r="P1001" s="19"/>
      <c r="R1001" s="19"/>
      <c r="S1001" s="9"/>
    </row>
    <row r="1002" spans="4:19" s="18" customFormat="1" x14ac:dyDescent="0.2">
      <c r="D1002" s="9"/>
      <c r="G1002" s="9"/>
      <c r="J1002" s="9"/>
      <c r="N1002" s="9"/>
      <c r="O1002" s="19"/>
      <c r="P1002" s="19"/>
      <c r="R1002" s="19"/>
      <c r="S1002" s="9"/>
    </row>
    <row r="1003" spans="4:19" s="18" customFormat="1" x14ac:dyDescent="0.2">
      <c r="D1003" s="9"/>
      <c r="G1003" s="9"/>
      <c r="J1003" s="9"/>
      <c r="N1003" s="9"/>
      <c r="O1003" s="19"/>
      <c r="P1003" s="19"/>
      <c r="R1003" s="19"/>
      <c r="S1003" s="9"/>
    </row>
    <row r="1004" spans="4:19" s="18" customFormat="1" x14ac:dyDescent="0.2">
      <c r="D1004" s="9"/>
      <c r="G1004" s="9"/>
      <c r="J1004" s="9"/>
      <c r="N1004" s="9"/>
      <c r="O1004" s="19"/>
      <c r="P1004" s="19"/>
      <c r="R1004" s="19"/>
      <c r="S1004" s="9"/>
    </row>
    <row r="1005" spans="4:19" s="18" customFormat="1" x14ac:dyDescent="0.2">
      <c r="D1005" s="9"/>
      <c r="G1005" s="9"/>
      <c r="J1005" s="9"/>
      <c r="N1005" s="9"/>
      <c r="O1005" s="19"/>
      <c r="P1005" s="19"/>
      <c r="R1005" s="19"/>
      <c r="S1005" s="9"/>
    </row>
    <row r="1006" spans="4:19" s="18" customFormat="1" x14ac:dyDescent="0.2">
      <c r="D1006" s="9"/>
      <c r="G1006" s="9"/>
      <c r="J1006" s="9"/>
      <c r="N1006" s="9"/>
      <c r="O1006" s="19"/>
      <c r="P1006" s="19"/>
      <c r="R1006" s="19"/>
      <c r="S1006" s="9"/>
    </row>
    <row r="1007" spans="4:19" s="18" customFormat="1" x14ac:dyDescent="0.2">
      <c r="D1007" s="9"/>
      <c r="G1007" s="9"/>
      <c r="J1007" s="9"/>
      <c r="N1007" s="9"/>
      <c r="O1007" s="19"/>
      <c r="P1007" s="19"/>
      <c r="R1007" s="19"/>
      <c r="S1007" s="9"/>
    </row>
    <row r="1008" spans="4:19" s="18" customFormat="1" x14ac:dyDescent="0.2">
      <c r="D1008" s="9"/>
      <c r="G1008" s="9"/>
      <c r="J1008" s="9"/>
      <c r="N1008" s="9"/>
      <c r="O1008" s="19"/>
      <c r="P1008" s="19"/>
      <c r="R1008" s="19"/>
      <c r="S1008" s="9"/>
    </row>
    <row r="1009" spans="4:19" s="18" customFormat="1" x14ac:dyDescent="0.2">
      <c r="D1009" s="9"/>
      <c r="G1009" s="9"/>
      <c r="J1009" s="9"/>
      <c r="N1009" s="9"/>
      <c r="O1009" s="19"/>
      <c r="P1009" s="19"/>
      <c r="R1009" s="19"/>
      <c r="S1009" s="9"/>
    </row>
    <row r="1010" spans="4:19" s="18" customFormat="1" x14ac:dyDescent="0.2">
      <c r="D1010" s="9"/>
      <c r="G1010" s="9"/>
      <c r="J1010" s="9"/>
      <c r="N1010" s="9"/>
      <c r="O1010" s="19"/>
      <c r="P1010" s="19"/>
      <c r="R1010" s="19"/>
      <c r="S1010" s="9"/>
    </row>
    <row r="1011" spans="4:19" s="18" customFormat="1" x14ac:dyDescent="0.2">
      <c r="D1011" s="9"/>
      <c r="G1011" s="9"/>
      <c r="J1011" s="9"/>
      <c r="N1011" s="9"/>
      <c r="O1011" s="19"/>
      <c r="P1011" s="19"/>
      <c r="R1011" s="19"/>
      <c r="S1011" s="9"/>
    </row>
    <row r="1012" spans="4:19" s="18" customFormat="1" x14ac:dyDescent="0.2">
      <c r="D1012" s="9"/>
      <c r="G1012" s="9"/>
      <c r="J1012" s="9"/>
      <c r="N1012" s="9"/>
      <c r="O1012" s="19"/>
      <c r="P1012" s="19"/>
      <c r="R1012" s="19"/>
      <c r="S1012" s="9"/>
    </row>
    <row r="1013" spans="4:19" s="18" customFormat="1" x14ac:dyDescent="0.2">
      <c r="D1013" s="9"/>
      <c r="G1013" s="9"/>
      <c r="J1013" s="9"/>
      <c r="N1013" s="9"/>
      <c r="O1013" s="19"/>
      <c r="P1013" s="19"/>
      <c r="R1013" s="19"/>
      <c r="S1013" s="9"/>
    </row>
    <row r="1014" spans="4:19" s="18" customFormat="1" x14ac:dyDescent="0.2">
      <c r="D1014" s="9"/>
      <c r="G1014" s="9"/>
      <c r="J1014" s="9"/>
      <c r="N1014" s="9"/>
      <c r="O1014" s="19"/>
      <c r="P1014" s="19"/>
      <c r="R1014" s="19"/>
      <c r="S1014" s="9"/>
    </row>
    <row r="1015" spans="4:19" s="18" customFormat="1" x14ac:dyDescent="0.2">
      <c r="D1015" s="9"/>
      <c r="G1015" s="9"/>
      <c r="J1015" s="9"/>
      <c r="N1015" s="9"/>
      <c r="O1015" s="19"/>
      <c r="P1015" s="19"/>
      <c r="R1015" s="19"/>
      <c r="S1015" s="9"/>
    </row>
    <row r="1016" spans="4:19" s="18" customFormat="1" x14ac:dyDescent="0.2">
      <c r="D1016" s="9"/>
      <c r="G1016" s="9"/>
      <c r="J1016" s="9"/>
      <c r="N1016" s="9"/>
      <c r="O1016" s="19"/>
      <c r="P1016" s="19"/>
      <c r="R1016" s="19"/>
      <c r="S1016" s="9"/>
    </row>
    <row r="1017" spans="4:19" s="18" customFormat="1" x14ac:dyDescent="0.2">
      <c r="D1017" s="9"/>
      <c r="G1017" s="9"/>
      <c r="J1017" s="9"/>
      <c r="N1017" s="9"/>
      <c r="O1017" s="19"/>
      <c r="P1017" s="19"/>
      <c r="R1017" s="19"/>
      <c r="S1017" s="9"/>
    </row>
    <row r="1018" spans="4:19" s="18" customFormat="1" x14ac:dyDescent="0.2">
      <c r="D1018" s="9"/>
      <c r="G1018" s="9"/>
      <c r="J1018" s="9"/>
      <c r="N1018" s="9"/>
      <c r="O1018" s="19"/>
      <c r="P1018" s="19"/>
      <c r="R1018" s="19"/>
      <c r="S1018" s="9"/>
    </row>
    <row r="1019" spans="4:19" s="18" customFormat="1" x14ac:dyDescent="0.2">
      <c r="D1019" s="9"/>
      <c r="G1019" s="9"/>
      <c r="J1019" s="9"/>
      <c r="N1019" s="9"/>
      <c r="O1019" s="19"/>
      <c r="P1019" s="19"/>
      <c r="R1019" s="19"/>
      <c r="S1019" s="9"/>
    </row>
    <row r="1020" spans="4:19" s="18" customFormat="1" x14ac:dyDescent="0.2">
      <c r="D1020" s="9"/>
      <c r="G1020" s="9"/>
      <c r="J1020" s="9"/>
      <c r="N1020" s="9"/>
      <c r="O1020" s="19"/>
      <c r="P1020" s="19"/>
      <c r="R1020" s="19"/>
      <c r="S1020" s="9"/>
    </row>
    <row r="1021" spans="4:19" s="18" customFormat="1" x14ac:dyDescent="0.2">
      <c r="D1021" s="9"/>
      <c r="G1021" s="9"/>
      <c r="J1021" s="9"/>
      <c r="N1021" s="9"/>
      <c r="O1021" s="19"/>
      <c r="P1021" s="19"/>
      <c r="R1021" s="19"/>
      <c r="S1021" s="9"/>
    </row>
    <row r="1022" spans="4:19" s="18" customFormat="1" x14ac:dyDescent="0.2">
      <c r="D1022" s="9"/>
      <c r="G1022" s="9"/>
      <c r="J1022" s="9"/>
      <c r="N1022" s="9"/>
      <c r="O1022" s="19"/>
      <c r="P1022" s="19"/>
      <c r="R1022" s="19"/>
      <c r="S1022" s="9"/>
    </row>
    <row r="1023" spans="4:19" s="18" customFormat="1" x14ac:dyDescent="0.2">
      <c r="D1023" s="9"/>
      <c r="G1023" s="9"/>
      <c r="J1023" s="9"/>
      <c r="N1023" s="9"/>
      <c r="O1023" s="19"/>
      <c r="P1023" s="19"/>
      <c r="R1023" s="19"/>
      <c r="S1023" s="9"/>
    </row>
    <row r="1024" spans="4:19" s="18" customFormat="1" x14ac:dyDescent="0.2">
      <c r="D1024" s="9"/>
      <c r="G1024" s="9"/>
      <c r="J1024" s="9"/>
      <c r="N1024" s="9"/>
      <c r="O1024" s="19"/>
      <c r="P1024" s="19"/>
      <c r="R1024" s="19"/>
      <c r="S1024" s="9"/>
    </row>
    <row r="1025" spans="4:19" s="18" customFormat="1" x14ac:dyDescent="0.2">
      <c r="D1025" s="9"/>
      <c r="G1025" s="9"/>
      <c r="J1025" s="9"/>
      <c r="N1025" s="9"/>
      <c r="O1025" s="19"/>
      <c r="P1025" s="19"/>
      <c r="R1025" s="19"/>
      <c r="S1025" s="9"/>
    </row>
    <row r="1026" spans="4:19" s="18" customFormat="1" x14ac:dyDescent="0.2">
      <c r="D1026" s="9"/>
      <c r="G1026" s="9"/>
      <c r="J1026" s="9"/>
      <c r="N1026" s="9"/>
      <c r="O1026" s="19"/>
      <c r="P1026" s="19"/>
      <c r="R1026" s="19"/>
      <c r="S1026" s="9"/>
    </row>
    <row r="1027" spans="4:19" s="18" customFormat="1" x14ac:dyDescent="0.2">
      <c r="D1027" s="9"/>
      <c r="G1027" s="9"/>
      <c r="J1027" s="9"/>
      <c r="N1027" s="9"/>
      <c r="O1027" s="19"/>
      <c r="P1027" s="19"/>
      <c r="R1027" s="19"/>
      <c r="S1027" s="9"/>
    </row>
    <row r="1028" spans="4:19" s="18" customFormat="1" x14ac:dyDescent="0.2">
      <c r="D1028" s="9"/>
      <c r="G1028" s="9"/>
      <c r="J1028" s="9"/>
      <c r="N1028" s="9"/>
      <c r="O1028" s="19"/>
      <c r="P1028" s="19"/>
      <c r="R1028" s="19"/>
      <c r="S1028" s="9"/>
    </row>
    <row r="1029" spans="4:19" s="18" customFormat="1" x14ac:dyDescent="0.2">
      <c r="D1029" s="9"/>
      <c r="G1029" s="9"/>
      <c r="J1029" s="9"/>
      <c r="N1029" s="9"/>
      <c r="O1029" s="19"/>
      <c r="P1029" s="19"/>
      <c r="R1029" s="19"/>
      <c r="S1029" s="9"/>
    </row>
    <row r="1030" spans="4:19" s="18" customFormat="1" x14ac:dyDescent="0.2">
      <c r="D1030" s="9"/>
      <c r="G1030" s="9"/>
      <c r="J1030" s="9"/>
      <c r="N1030" s="9"/>
      <c r="O1030" s="19"/>
      <c r="P1030" s="19"/>
      <c r="R1030" s="19"/>
      <c r="S1030" s="9"/>
    </row>
    <row r="1031" spans="4:19" s="18" customFormat="1" x14ac:dyDescent="0.2">
      <c r="D1031" s="9"/>
      <c r="G1031" s="9"/>
      <c r="J1031" s="9"/>
      <c r="N1031" s="9"/>
      <c r="O1031" s="19"/>
      <c r="P1031" s="19"/>
      <c r="R1031" s="19"/>
      <c r="S1031" s="9"/>
    </row>
    <row r="1032" spans="4:19" s="18" customFormat="1" x14ac:dyDescent="0.2">
      <c r="D1032" s="9"/>
      <c r="G1032" s="9"/>
      <c r="J1032" s="9"/>
      <c r="N1032" s="9"/>
      <c r="O1032" s="19"/>
      <c r="P1032" s="19"/>
      <c r="R1032" s="19"/>
      <c r="S1032" s="9"/>
    </row>
    <row r="1033" spans="4:19" s="18" customFormat="1" x14ac:dyDescent="0.2">
      <c r="D1033" s="9"/>
      <c r="G1033" s="9"/>
      <c r="J1033" s="9"/>
      <c r="N1033" s="9"/>
      <c r="O1033" s="19"/>
      <c r="P1033" s="19"/>
      <c r="R1033" s="19"/>
      <c r="S1033" s="9"/>
    </row>
    <row r="1034" spans="4:19" s="18" customFormat="1" x14ac:dyDescent="0.2">
      <c r="D1034" s="9"/>
      <c r="G1034" s="9"/>
      <c r="J1034" s="9"/>
      <c r="N1034" s="9"/>
      <c r="O1034" s="19"/>
      <c r="P1034" s="19"/>
      <c r="R1034" s="19"/>
      <c r="S1034" s="9"/>
    </row>
    <row r="1035" spans="4:19" s="18" customFormat="1" x14ac:dyDescent="0.2">
      <c r="D1035" s="9"/>
      <c r="G1035" s="9"/>
      <c r="J1035" s="9"/>
      <c r="N1035" s="9"/>
      <c r="O1035" s="19"/>
      <c r="P1035" s="19"/>
      <c r="R1035" s="19"/>
      <c r="S1035" s="9"/>
    </row>
    <row r="1036" spans="4:19" s="18" customFormat="1" x14ac:dyDescent="0.2">
      <c r="D1036" s="9"/>
      <c r="G1036" s="9"/>
      <c r="J1036" s="9"/>
      <c r="N1036" s="9"/>
      <c r="O1036" s="19"/>
      <c r="P1036" s="19"/>
      <c r="R1036" s="19"/>
      <c r="S1036" s="9"/>
    </row>
    <row r="1037" spans="4:19" s="18" customFormat="1" x14ac:dyDescent="0.2">
      <c r="D1037" s="9"/>
      <c r="G1037" s="9"/>
      <c r="J1037" s="9"/>
      <c r="N1037" s="9"/>
      <c r="O1037" s="19"/>
      <c r="P1037" s="19"/>
      <c r="R1037" s="19"/>
      <c r="S1037" s="9"/>
    </row>
    <row r="1038" spans="4:19" s="18" customFormat="1" x14ac:dyDescent="0.2">
      <c r="D1038" s="9"/>
      <c r="G1038" s="9"/>
      <c r="J1038" s="9"/>
      <c r="N1038" s="9"/>
      <c r="O1038" s="19"/>
      <c r="P1038" s="19"/>
      <c r="R1038" s="19"/>
      <c r="S1038" s="9"/>
    </row>
    <row r="1039" spans="4:19" s="18" customFormat="1" x14ac:dyDescent="0.2">
      <c r="D1039" s="9"/>
      <c r="G1039" s="9"/>
      <c r="J1039" s="9"/>
      <c r="N1039" s="9"/>
      <c r="O1039" s="19"/>
      <c r="P1039" s="19"/>
      <c r="R1039" s="19"/>
      <c r="S1039" s="9"/>
    </row>
    <row r="1040" spans="4:19" s="18" customFormat="1" x14ac:dyDescent="0.2">
      <c r="D1040" s="9"/>
      <c r="G1040" s="9"/>
      <c r="J1040" s="9"/>
      <c r="N1040" s="9"/>
      <c r="O1040" s="19"/>
      <c r="P1040" s="19"/>
      <c r="R1040" s="19"/>
      <c r="S1040" s="9"/>
    </row>
    <row r="1041" spans="4:19" s="18" customFormat="1" x14ac:dyDescent="0.2">
      <c r="D1041" s="9"/>
      <c r="G1041" s="9"/>
      <c r="J1041" s="9"/>
      <c r="N1041" s="9"/>
      <c r="O1041" s="19"/>
      <c r="P1041" s="19"/>
      <c r="R1041" s="19"/>
      <c r="S1041" s="9"/>
    </row>
    <row r="1042" spans="4:19" s="18" customFormat="1" x14ac:dyDescent="0.2">
      <c r="D1042" s="9"/>
      <c r="G1042" s="9"/>
      <c r="J1042" s="9"/>
      <c r="N1042" s="9"/>
      <c r="O1042" s="19"/>
      <c r="P1042" s="19"/>
      <c r="R1042" s="19"/>
      <c r="S1042" s="9"/>
    </row>
    <row r="1043" spans="4:19" s="18" customFormat="1" x14ac:dyDescent="0.2">
      <c r="D1043" s="9"/>
      <c r="G1043" s="9"/>
      <c r="J1043" s="9"/>
      <c r="N1043" s="9"/>
      <c r="O1043" s="19"/>
      <c r="P1043" s="19"/>
      <c r="R1043" s="19"/>
      <c r="S1043" s="9"/>
    </row>
    <row r="1044" spans="4:19" s="18" customFormat="1" x14ac:dyDescent="0.2">
      <c r="D1044" s="9"/>
      <c r="G1044" s="9"/>
      <c r="J1044" s="9"/>
      <c r="N1044" s="9"/>
      <c r="O1044" s="19"/>
      <c r="P1044" s="19"/>
      <c r="R1044" s="19"/>
      <c r="S1044" s="9"/>
    </row>
    <row r="1045" spans="4:19" s="18" customFormat="1" x14ac:dyDescent="0.2">
      <c r="D1045" s="9"/>
      <c r="G1045" s="9"/>
      <c r="J1045" s="9"/>
      <c r="N1045" s="9"/>
      <c r="O1045" s="19"/>
      <c r="P1045" s="19"/>
      <c r="R1045" s="19"/>
      <c r="S1045" s="9"/>
    </row>
    <row r="1046" spans="4:19" s="18" customFormat="1" x14ac:dyDescent="0.2">
      <c r="D1046" s="9"/>
      <c r="G1046" s="9"/>
      <c r="J1046" s="9"/>
      <c r="N1046" s="9"/>
      <c r="O1046" s="19"/>
      <c r="P1046" s="19"/>
      <c r="R1046" s="19"/>
      <c r="S1046" s="9"/>
    </row>
    <row r="1047" spans="4:19" s="18" customFormat="1" x14ac:dyDescent="0.2">
      <c r="D1047" s="9"/>
      <c r="G1047" s="9"/>
      <c r="J1047" s="9"/>
      <c r="N1047" s="9"/>
      <c r="O1047" s="19"/>
      <c r="P1047" s="19"/>
      <c r="R1047" s="19"/>
      <c r="S1047" s="9"/>
    </row>
    <row r="1048" spans="4:19" s="18" customFormat="1" x14ac:dyDescent="0.2">
      <c r="D1048" s="9"/>
      <c r="G1048" s="9"/>
      <c r="J1048" s="9"/>
      <c r="N1048" s="9"/>
      <c r="O1048" s="19"/>
      <c r="P1048" s="19"/>
      <c r="R1048" s="19"/>
      <c r="S1048" s="9"/>
    </row>
    <row r="1049" spans="4:19" s="18" customFormat="1" x14ac:dyDescent="0.2">
      <c r="D1049" s="9"/>
      <c r="G1049" s="9"/>
      <c r="J1049" s="9"/>
      <c r="N1049" s="9"/>
      <c r="O1049" s="19"/>
      <c r="P1049" s="19"/>
      <c r="R1049" s="19"/>
      <c r="S1049" s="9"/>
    </row>
    <row r="1050" spans="4:19" s="18" customFormat="1" x14ac:dyDescent="0.2">
      <c r="D1050" s="9"/>
      <c r="G1050" s="9"/>
      <c r="J1050" s="9"/>
      <c r="N1050" s="9"/>
      <c r="O1050" s="19"/>
      <c r="P1050" s="19"/>
      <c r="R1050" s="19"/>
      <c r="S1050" s="9"/>
    </row>
    <row r="1051" spans="4:19" s="18" customFormat="1" x14ac:dyDescent="0.2">
      <c r="D1051" s="9"/>
      <c r="G1051" s="9"/>
      <c r="J1051" s="9"/>
      <c r="N1051" s="9"/>
      <c r="O1051" s="19"/>
      <c r="P1051" s="19"/>
      <c r="R1051" s="19"/>
      <c r="S1051" s="9"/>
    </row>
    <row r="1052" spans="4:19" s="18" customFormat="1" x14ac:dyDescent="0.2">
      <c r="D1052" s="9"/>
      <c r="G1052" s="9"/>
      <c r="J1052" s="9"/>
      <c r="N1052" s="9"/>
      <c r="O1052" s="19"/>
      <c r="P1052" s="19"/>
      <c r="R1052" s="19"/>
      <c r="S1052" s="9"/>
    </row>
    <row r="1053" spans="4:19" s="18" customFormat="1" x14ac:dyDescent="0.2">
      <c r="D1053" s="9"/>
      <c r="G1053" s="9"/>
      <c r="J1053" s="9"/>
      <c r="N1053" s="9"/>
      <c r="O1053" s="19"/>
      <c r="P1053" s="19"/>
      <c r="R1053" s="19"/>
      <c r="S1053" s="9"/>
    </row>
    <row r="1054" spans="4:19" s="18" customFormat="1" x14ac:dyDescent="0.2">
      <c r="D1054" s="9"/>
      <c r="G1054" s="9"/>
      <c r="J1054" s="9"/>
      <c r="N1054" s="9"/>
      <c r="O1054" s="19"/>
      <c r="P1054" s="19"/>
      <c r="R1054" s="19"/>
      <c r="S1054" s="9"/>
    </row>
    <row r="1055" spans="4:19" s="18" customFormat="1" x14ac:dyDescent="0.2">
      <c r="D1055" s="9"/>
      <c r="G1055" s="9"/>
      <c r="J1055" s="9"/>
      <c r="N1055" s="9"/>
      <c r="O1055" s="19"/>
      <c r="P1055" s="19"/>
      <c r="R1055" s="19"/>
      <c r="S1055" s="9"/>
    </row>
    <row r="1056" spans="4:19" s="18" customFormat="1" x14ac:dyDescent="0.2">
      <c r="D1056" s="9"/>
      <c r="G1056" s="9"/>
      <c r="J1056" s="9"/>
      <c r="N1056" s="9"/>
      <c r="O1056" s="19"/>
      <c r="P1056" s="19"/>
      <c r="R1056" s="19"/>
      <c r="S1056" s="9"/>
    </row>
    <row r="1057" spans="4:19" s="18" customFormat="1" x14ac:dyDescent="0.2">
      <c r="D1057" s="9"/>
      <c r="G1057" s="9"/>
      <c r="J1057" s="9"/>
      <c r="N1057" s="9"/>
      <c r="O1057" s="19"/>
      <c r="P1057" s="19"/>
      <c r="R1057" s="19"/>
      <c r="S1057" s="9"/>
    </row>
    <row r="1058" spans="4:19" s="18" customFormat="1" x14ac:dyDescent="0.2">
      <c r="D1058" s="9"/>
      <c r="G1058" s="9"/>
      <c r="J1058" s="9"/>
      <c r="N1058" s="9"/>
      <c r="O1058" s="19"/>
      <c r="P1058" s="19"/>
      <c r="R1058" s="19"/>
      <c r="S1058" s="9"/>
    </row>
    <row r="1059" spans="4:19" s="18" customFormat="1" x14ac:dyDescent="0.2">
      <c r="D1059" s="9"/>
      <c r="G1059" s="9"/>
      <c r="J1059" s="9"/>
      <c r="N1059" s="9"/>
      <c r="O1059" s="19"/>
      <c r="P1059" s="19"/>
      <c r="R1059" s="19"/>
      <c r="S1059" s="9"/>
    </row>
    <row r="1060" spans="4:19" s="18" customFormat="1" x14ac:dyDescent="0.2">
      <c r="D1060" s="9"/>
      <c r="G1060" s="9"/>
      <c r="J1060" s="9"/>
      <c r="N1060" s="9"/>
      <c r="O1060" s="19"/>
      <c r="P1060" s="19"/>
      <c r="R1060" s="19"/>
      <c r="S1060" s="9"/>
    </row>
    <row r="1061" spans="4:19" s="18" customFormat="1" x14ac:dyDescent="0.2">
      <c r="D1061" s="9"/>
      <c r="G1061" s="9"/>
      <c r="J1061" s="9"/>
      <c r="N1061" s="9"/>
      <c r="O1061" s="19"/>
      <c r="P1061" s="19"/>
      <c r="R1061" s="19"/>
      <c r="S1061" s="9"/>
    </row>
    <row r="1062" spans="4:19" s="18" customFormat="1" x14ac:dyDescent="0.2">
      <c r="D1062" s="9"/>
      <c r="G1062" s="9"/>
      <c r="J1062" s="9"/>
      <c r="N1062" s="9"/>
      <c r="O1062" s="19"/>
      <c r="P1062" s="19"/>
      <c r="R1062" s="19"/>
      <c r="S1062" s="9"/>
    </row>
    <row r="1063" spans="4:19" s="18" customFormat="1" x14ac:dyDescent="0.2">
      <c r="D1063" s="9"/>
      <c r="G1063" s="9"/>
      <c r="J1063" s="9"/>
      <c r="N1063" s="9"/>
      <c r="O1063" s="19"/>
      <c r="P1063" s="19"/>
      <c r="R1063" s="19"/>
      <c r="S1063" s="9"/>
    </row>
    <row r="1064" spans="4:19" s="18" customFormat="1" x14ac:dyDescent="0.2">
      <c r="D1064" s="9"/>
      <c r="G1064" s="9"/>
      <c r="J1064" s="9"/>
      <c r="N1064" s="9"/>
      <c r="O1064" s="19"/>
      <c r="P1064" s="19"/>
      <c r="R1064" s="19"/>
      <c r="S1064" s="9"/>
    </row>
    <row r="1065" spans="4:19" s="18" customFormat="1" x14ac:dyDescent="0.2">
      <c r="D1065" s="9"/>
      <c r="G1065" s="9"/>
      <c r="J1065" s="9"/>
      <c r="N1065" s="9"/>
      <c r="O1065" s="19"/>
      <c r="P1065" s="19"/>
      <c r="R1065" s="19"/>
      <c r="S1065" s="9"/>
    </row>
    <row r="1066" spans="4:19" s="18" customFormat="1" x14ac:dyDescent="0.2">
      <c r="D1066" s="9"/>
      <c r="G1066" s="9"/>
      <c r="J1066" s="9"/>
      <c r="N1066" s="9"/>
      <c r="O1066" s="19"/>
      <c r="P1066" s="19"/>
      <c r="R1066" s="19"/>
      <c r="S1066" s="9"/>
    </row>
    <row r="1067" spans="4:19" s="18" customFormat="1" x14ac:dyDescent="0.2">
      <c r="D1067" s="9"/>
      <c r="G1067" s="9"/>
      <c r="J1067" s="9"/>
      <c r="N1067" s="9"/>
      <c r="O1067" s="19"/>
      <c r="P1067" s="19"/>
      <c r="R1067" s="19"/>
      <c r="S1067" s="9"/>
    </row>
    <row r="1068" spans="4:19" s="18" customFormat="1" x14ac:dyDescent="0.2">
      <c r="D1068" s="9"/>
      <c r="G1068" s="9"/>
      <c r="J1068" s="9"/>
      <c r="N1068" s="9"/>
      <c r="O1068" s="19"/>
      <c r="P1068" s="19"/>
      <c r="R1068" s="19"/>
      <c r="S1068" s="9"/>
    </row>
    <row r="1069" spans="4:19" s="18" customFormat="1" x14ac:dyDescent="0.2">
      <c r="D1069" s="9"/>
      <c r="G1069" s="9"/>
      <c r="J1069" s="9"/>
      <c r="N1069" s="9"/>
      <c r="O1069" s="19"/>
      <c r="P1069" s="19"/>
      <c r="R1069" s="19"/>
      <c r="S1069" s="9"/>
    </row>
    <row r="1070" spans="4:19" s="18" customFormat="1" x14ac:dyDescent="0.2">
      <c r="D1070" s="9"/>
      <c r="G1070" s="9"/>
      <c r="J1070" s="9"/>
      <c r="N1070" s="9"/>
      <c r="O1070" s="19"/>
      <c r="P1070" s="19"/>
      <c r="R1070" s="19"/>
      <c r="S1070" s="9"/>
    </row>
    <row r="1071" spans="4:19" s="18" customFormat="1" x14ac:dyDescent="0.2">
      <c r="D1071" s="9"/>
      <c r="G1071" s="9"/>
      <c r="J1071" s="9"/>
      <c r="N1071" s="9"/>
      <c r="O1071" s="19"/>
      <c r="P1071" s="19"/>
      <c r="R1071" s="19"/>
      <c r="S1071" s="9"/>
    </row>
    <row r="1072" spans="4:19" s="18" customFormat="1" x14ac:dyDescent="0.2">
      <c r="D1072" s="9"/>
      <c r="G1072" s="9"/>
      <c r="J1072" s="9"/>
      <c r="N1072" s="9"/>
      <c r="O1072" s="19"/>
      <c r="P1072" s="19"/>
      <c r="R1072" s="19"/>
      <c r="S1072" s="9"/>
    </row>
    <row r="1073" spans="4:19" s="18" customFormat="1" x14ac:dyDescent="0.2">
      <c r="D1073" s="9"/>
      <c r="G1073" s="9"/>
      <c r="J1073" s="9"/>
      <c r="N1073" s="9"/>
      <c r="O1073" s="19"/>
      <c r="P1073" s="19"/>
      <c r="R1073" s="19"/>
      <c r="S1073" s="9"/>
    </row>
    <row r="1074" spans="4:19" s="18" customFormat="1" x14ac:dyDescent="0.2">
      <c r="D1074" s="9"/>
      <c r="G1074" s="9"/>
      <c r="J1074" s="9"/>
      <c r="N1074" s="9"/>
      <c r="O1074" s="19"/>
      <c r="P1074" s="19"/>
      <c r="R1074" s="19"/>
      <c r="S1074" s="9"/>
    </row>
    <row r="1075" spans="4:19" s="18" customFormat="1" x14ac:dyDescent="0.2">
      <c r="D1075" s="9"/>
      <c r="G1075" s="9"/>
      <c r="J1075" s="9"/>
      <c r="N1075" s="9"/>
      <c r="O1075" s="19"/>
      <c r="P1075" s="19"/>
      <c r="R1075" s="19"/>
      <c r="S1075" s="9"/>
    </row>
    <row r="1076" spans="4:19" s="18" customFormat="1" x14ac:dyDescent="0.2">
      <c r="D1076" s="9"/>
      <c r="G1076" s="9"/>
      <c r="J1076" s="9"/>
      <c r="N1076" s="9"/>
      <c r="O1076" s="19"/>
      <c r="P1076" s="19"/>
      <c r="R1076" s="19"/>
      <c r="S1076" s="9"/>
    </row>
    <row r="1077" spans="4:19" s="18" customFormat="1" x14ac:dyDescent="0.2">
      <c r="D1077" s="9"/>
      <c r="G1077" s="9"/>
      <c r="J1077" s="9"/>
      <c r="N1077" s="9"/>
      <c r="O1077" s="19"/>
      <c r="P1077" s="19"/>
      <c r="R1077" s="19"/>
      <c r="S1077" s="9"/>
    </row>
    <row r="1078" spans="4:19" s="18" customFormat="1" x14ac:dyDescent="0.2">
      <c r="D1078" s="9"/>
      <c r="G1078" s="9"/>
      <c r="J1078" s="9"/>
      <c r="N1078" s="9"/>
      <c r="O1078" s="19"/>
      <c r="P1078" s="19"/>
      <c r="R1078" s="19"/>
      <c r="S1078" s="9"/>
    </row>
    <row r="1079" spans="4:19" s="18" customFormat="1" x14ac:dyDescent="0.2">
      <c r="D1079" s="9"/>
      <c r="G1079" s="9"/>
      <c r="J1079" s="9"/>
      <c r="N1079" s="9"/>
      <c r="O1079" s="19"/>
      <c r="P1079" s="19"/>
      <c r="R1079" s="19"/>
      <c r="S1079" s="9"/>
    </row>
    <row r="1080" spans="4:19" s="18" customFormat="1" x14ac:dyDescent="0.2">
      <c r="D1080" s="9"/>
      <c r="G1080" s="9"/>
      <c r="J1080" s="9"/>
      <c r="N1080" s="9"/>
      <c r="O1080" s="19"/>
      <c r="P1080" s="19"/>
      <c r="R1080" s="19"/>
      <c r="S1080" s="9"/>
    </row>
    <row r="1081" spans="4:19" s="18" customFormat="1" x14ac:dyDescent="0.2">
      <c r="D1081" s="9"/>
      <c r="G1081" s="9"/>
      <c r="J1081" s="9"/>
      <c r="N1081" s="9"/>
      <c r="O1081" s="19"/>
      <c r="P1081" s="19"/>
      <c r="R1081" s="19"/>
      <c r="S1081" s="9"/>
    </row>
    <row r="1082" spans="4:19" s="18" customFormat="1" x14ac:dyDescent="0.2">
      <c r="D1082" s="9"/>
      <c r="G1082" s="9"/>
      <c r="J1082" s="9"/>
      <c r="N1082" s="9"/>
      <c r="O1082" s="19"/>
      <c r="P1082" s="19"/>
      <c r="R1082" s="19"/>
      <c r="S1082" s="9"/>
    </row>
    <row r="1083" spans="4:19" s="18" customFormat="1" x14ac:dyDescent="0.2">
      <c r="D1083" s="9"/>
      <c r="G1083" s="9"/>
      <c r="J1083" s="9"/>
      <c r="N1083" s="9"/>
      <c r="O1083" s="19"/>
      <c r="P1083" s="19"/>
      <c r="R1083" s="19"/>
      <c r="S1083" s="9"/>
    </row>
    <row r="1084" spans="4:19" s="18" customFormat="1" x14ac:dyDescent="0.2">
      <c r="D1084" s="9"/>
      <c r="G1084" s="9"/>
      <c r="J1084" s="9"/>
      <c r="N1084" s="9"/>
      <c r="O1084" s="19"/>
      <c r="P1084" s="19"/>
      <c r="R1084" s="19"/>
      <c r="S1084" s="9"/>
    </row>
    <row r="1085" spans="4:19" s="18" customFormat="1" x14ac:dyDescent="0.2">
      <c r="D1085" s="9"/>
      <c r="G1085" s="9"/>
      <c r="J1085" s="9"/>
      <c r="N1085" s="9"/>
      <c r="O1085" s="19"/>
      <c r="P1085" s="19"/>
      <c r="R1085" s="19"/>
      <c r="S1085" s="9"/>
    </row>
    <row r="1086" spans="4:19" s="18" customFormat="1" x14ac:dyDescent="0.2">
      <c r="D1086" s="9"/>
      <c r="G1086" s="9"/>
      <c r="J1086" s="9"/>
      <c r="N1086" s="9"/>
      <c r="O1086" s="19"/>
      <c r="P1086" s="19"/>
      <c r="R1086" s="19"/>
      <c r="S1086" s="9"/>
    </row>
    <row r="1087" spans="4:19" s="18" customFormat="1" x14ac:dyDescent="0.2">
      <c r="D1087" s="9"/>
      <c r="G1087" s="9"/>
      <c r="J1087" s="9"/>
      <c r="N1087" s="9"/>
      <c r="O1087" s="19"/>
      <c r="P1087" s="19"/>
      <c r="R1087" s="19"/>
      <c r="S1087" s="9"/>
    </row>
    <row r="1088" spans="4:19" s="18" customFormat="1" x14ac:dyDescent="0.2">
      <c r="D1088" s="9"/>
      <c r="G1088" s="9"/>
      <c r="J1088" s="9"/>
      <c r="N1088" s="9"/>
      <c r="O1088" s="19"/>
      <c r="P1088" s="19"/>
      <c r="R1088" s="19"/>
      <c r="S1088" s="9"/>
    </row>
    <row r="1089" spans="4:19" s="18" customFormat="1" x14ac:dyDescent="0.2">
      <c r="D1089" s="9"/>
      <c r="G1089" s="9"/>
      <c r="J1089" s="9"/>
      <c r="N1089" s="9"/>
      <c r="O1089" s="19"/>
      <c r="P1089" s="19"/>
      <c r="R1089" s="19"/>
      <c r="S1089" s="9"/>
    </row>
    <row r="1090" spans="4:19" s="18" customFormat="1" x14ac:dyDescent="0.2">
      <c r="D1090" s="9"/>
      <c r="G1090" s="9"/>
      <c r="J1090" s="9"/>
      <c r="N1090" s="9"/>
      <c r="O1090" s="19"/>
      <c r="P1090" s="19"/>
      <c r="R1090" s="19"/>
      <c r="S1090" s="9"/>
    </row>
    <row r="1091" spans="4:19" s="18" customFormat="1" x14ac:dyDescent="0.2">
      <c r="D1091" s="9"/>
      <c r="G1091" s="9"/>
      <c r="J1091" s="9"/>
      <c r="N1091" s="9"/>
      <c r="O1091" s="19"/>
      <c r="P1091" s="19"/>
      <c r="R1091" s="19"/>
      <c r="S1091" s="9"/>
    </row>
    <row r="1092" spans="4:19" s="18" customFormat="1" x14ac:dyDescent="0.2">
      <c r="D1092" s="9"/>
      <c r="G1092" s="9"/>
      <c r="J1092" s="9"/>
      <c r="N1092" s="9"/>
      <c r="O1092" s="19"/>
      <c r="P1092" s="19"/>
      <c r="R1092" s="19"/>
      <c r="S1092" s="9"/>
    </row>
    <row r="1093" spans="4:19" s="18" customFormat="1" x14ac:dyDescent="0.2">
      <c r="D1093" s="9"/>
      <c r="G1093" s="9"/>
      <c r="J1093" s="9"/>
      <c r="N1093" s="9"/>
      <c r="O1093" s="19"/>
      <c r="P1093" s="19"/>
      <c r="R1093" s="19"/>
      <c r="S1093" s="9"/>
    </row>
    <row r="1094" spans="4:19" s="18" customFormat="1" x14ac:dyDescent="0.2">
      <c r="D1094" s="9"/>
      <c r="G1094" s="9"/>
      <c r="J1094" s="9"/>
      <c r="N1094" s="9"/>
      <c r="O1094" s="19"/>
      <c r="P1094" s="19"/>
      <c r="R1094" s="19"/>
      <c r="S1094" s="9"/>
    </row>
    <row r="1095" spans="4:19" s="18" customFormat="1" x14ac:dyDescent="0.2">
      <c r="D1095" s="9"/>
      <c r="G1095" s="9"/>
      <c r="J1095" s="9"/>
      <c r="N1095" s="9"/>
      <c r="O1095" s="19"/>
      <c r="P1095" s="19"/>
      <c r="R1095" s="19"/>
      <c r="S1095" s="9"/>
    </row>
    <row r="1096" spans="4:19" s="18" customFormat="1" x14ac:dyDescent="0.2">
      <c r="D1096" s="9"/>
      <c r="G1096" s="9"/>
      <c r="J1096" s="9"/>
      <c r="N1096" s="9"/>
      <c r="O1096" s="19"/>
      <c r="P1096" s="19"/>
      <c r="R1096" s="19"/>
      <c r="S1096" s="9"/>
    </row>
    <row r="1097" spans="4:19" s="18" customFormat="1" x14ac:dyDescent="0.2">
      <c r="D1097" s="9"/>
      <c r="G1097" s="9"/>
      <c r="J1097" s="9"/>
      <c r="N1097" s="9"/>
      <c r="O1097" s="19"/>
      <c r="P1097" s="19"/>
      <c r="R1097" s="19"/>
      <c r="S1097" s="9"/>
    </row>
    <row r="1098" spans="4:19" s="18" customFormat="1" x14ac:dyDescent="0.2">
      <c r="D1098" s="9"/>
      <c r="G1098" s="9"/>
      <c r="J1098" s="9"/>
      <c r="N1098" s="9"/>
      <c r="O1098" s="19"/>
      <c r="P1098" s="19"/>
      <c r="R1098" s="19"/>
      <c r="S1098" s="9"/>
    </row>
    <row r="1099" spans="4:19" s="18" customFormat="1" x14ac:dyDescent="0.2">
      <c r="D1099" s="9"/>
      <c r="G1099" s="9"/>
      <c r="J1099" s="9"/>
      <c r="N1099" s="9"/>
      <c r="O1099" s="19"/>
      <c r="P1099" s="19"/>
      <c r="R1099" s="19"/>
      <c r="S1099" s="9"/>
    </row>
    <row r="1100" spans="4:19" s="18" customFormat="1" x14ac:dyDescent="0.2">
      <c r="D1100" s="9"/>
      <c r="G1100" s="9"/>
      <c r="J1100" s="9"/>
      <c r="N1100" s="9"/>
      <c r="O1100" s="19"/>
      <c r="P1100" s="19"/>
      <c r="R1100" s="19"/>
      <c r="S1100" s="9"/>
    </row>
    <row r="1101" spans="4:19" s="18" customFormat="1" x14ac:dyDescent="0.2">
      <c r="D1101" s="9"/>
      <c r="G1101" s="9"/>
      <c r="J1101" s="9"/>
      <c r="N1101" s="9"/>
      <c r="O1101" s="19"/>
      <c r="P1101" s="19"/>
      <c r="R1101" s="19"/>
      <c r="S1101" s="9"/>
    </row>
    <row r="1102" spans="4:19" s="18" customFormat="1" x14ac:dyDescent="0.2">
      <c r="D1102" s="9"/>
      <c r="G1102" s="9"/>
      <c r="J1102" s="9"/>
      <c r="N1102" s="9"/>
      <c r="O1102" s="19"/>
      <c r="P1102" s="19"/>
      <c r="R1102" s="19"/>
      <c r="S1102" s="9"/>
    </row>
    <row r="1103" spans="4:19" s="18" customFormat="1" x14ac:dyDescent="0.2">
      <c r="D1103" s="9"/>
      <c r="G1103" s="9"/>
      <c r="J1103" s="9"/>
      <c r="N1103" s="9"/>
      <c r="O1103" s="19"/>
      <c r="P1103" s="19"/>
      <c r="R1103" s="19"/>
      <c r="S1103" s="9"/>
    </row>
    <row r="1104" spans="4:19" s="18" customFormat="1" x14ac:dyDescent="0.2">
      <c r="D1104" s="9"/>
      <c r="G1104" s="9"/>
      <c r="J1104" s="9"/>
      <c r="N1104" s="9"/>
      <c r="O1104" s="19"/>
      <c r="P1104" s="19"/>
      <c r="R1104" s="19"/>
      <c r="S1104" s="9"/>
    </row>
    <row r="1105" spans="4:19" s="18" customFormat="1" x14ac:dyDescent="0.2">
      <c r="D1105" s="9"/>
      <c r="G1105" s="9"/>
      <c r="J1105" s="9"/>
      <c r="N1105" s="9"/>
      <c r="O1105" s="19"/>
      <c r="P1105" s="19"/>
      <c r="R1105" s="19"/>
      <c r="S1105" s="9"/>
    </row>
    <row r="1106" spans="4:19" s="18" customFormat="1" x14ac:dyDescent="0.2">
      <c r="D1106" s="9"/>
      <c r="G1106" s="9"/>
      <c r="J1106" s="9"/>
      <c r="N1106" s="9"/>
      <c r="O1106" s="19"/>
      <c r="P1106" s="19"/>
      <c r="R1106" s="19"/>
      <c r="S1106" s="9"/>
    </row>
    <row r="1107" spans="4:19" s="18" customFormat="1" x14ac:dyDescent="0.2">
      <c r="D1107" s="9"/>
      <c r="G1107" s="9"/>
      <c r="J1107" s="9"/>
      <c r="N1107" s="9"/>
      <c r="O1107" s="19"/>
      <c r="P1107" s="19"/>
      <c r="R1107" s="19"/>
      <c r="S1107" s="9"/>
    </row>
    <row r="1108" spans="4:19" s="18" customFormat="1" x14ac:dyDescent="0.2">
      <c r="D1108" s="9"/>
      <c r="G1108" s="9"/>
      <c r="J1108" s="9"/>
      <c r="N1108" s="9"/>
      <c r="O1108" s="19"/>
      <c r="P1108" s="19"/>
      <c r="R1108" s="19"/>
      <c r="S1108" s="9"/>
    </row>
    <row r="1109" spans="4:19" s="18" customFormat="1" x14ac:dyDescent="0.2">
      <c r="D1109" s="9"/>
      <c r="G1109" s="9"/>
      <c r="J1109" s="9"/>
      <c r="N1109" s="9"/>
      <c r="O1109" s="19"/>
      <c r="P1109" s="19"/>
      <c r="R1109" s="19"/>
      <c r="S1109" s="9"/>
    </row>
    <row r="1110" spans="4:19" s="18" customFormat="1" x14ac:dyDescent="0.2">
      <c r="D1110" s="9"/>
      <c r="G1110" s="9"/>
      <c r="J1110" s="9"/>
      <c r="N1110" s="9"/>
      <c r="O1110" s="19"/>
      <c r="P1110" s="19"/>
      <c r="R1110" s="19"/>
      <c r="S1110" s="9"/>
    </row>
    <row r="1111" spans="4:19" s="18" customFormat="1" x14ac:dyDescent="0.2">
      <c r="D1111" s="9"/>
      <c r="G1111" s="9"/>
      <c r="J1111" s="9"/>
      <c r="N1111" s="9"/>
      <c r="O1111" s="19"/>
      <c r="P1111" s="19"/>
      <c r="R1111" s="19"/>
      <c r="S1111" s="9"/>
    </row>
    <row r="1112" spans="4:19" s="18" customFormat="1" x14ac:dyDescent="0.2">
      <c r="D1112" s="9"/>
      <c r="G1112" s="9"/>
      <c r="J1112" s="9"/>
      <c r="N1112" s="9"/>
      <c r="O1112" s="19"/>
      <c r="P1112" s="19"/>
      <c r="R1112" s="19"/>
      <c r="S1112" s="9"/>
    </row>
    <row r="1113" spans="4:19" s="18" customFormat="1" x14ac:dyDescent="0.2">
      <c r="D1113" s="9"/>
      <c r="G1113" s="9"/>
      <c r="J1113" s="9"/>
      <c r="N1113" s="9"/>
      <c r="O1113" s="19"/>
      <c r="P1113" s="19"/>
      <c r="R1113" s="19"/>
      <c r="S1113" s="9"/>
    </row>
    <row r="1114" spans="4:19" s="18" customFormat="1" x14ac:dyDescent="0.2">
      <c r="D1114" s="9"/>
      <c r="G1114" s="9"/>
      <c r="J1114" s="9"/>
      <c r="N1114" s="9"/>
      <c r="O1114" s="19"/>
      <c r="P1114" s="19"/>
      <c r="R1114" s="19"/>
      <c r="S1114" s="9"/>
    </row>
    <row r="1115" spans="4:19" s="18" customFormat="1" x14ac:dyDescent="0.2">
      <c r="D1115" s="9"/>
      <c r="G1115" s="9"/>
      <c r="J1115" s="9"/>
      <c r="N1115" s="9"/>
      <c r="O1115" s="19"/>
      <c r="P1115" s="19"/>
      <c r="R1115" s="19"/>
      <c r="S1115" s="9"/>
    </row>
    <row r="1116" spans="4:19" s="18" customFormat="1" x14ac:dyDescent="0.2">
      <c r="D1116" s="9"/>
      <c r="G1116" s="9"/>
      <c r="J1116" s="9"/>
      <c r="N1116" s="9"/>
      <c r="O1116" s="19"/>
      <c r="P1116" s="19"/>
      <c r="R1116" s="19"/>
      <c r="S1116" s="9"/>
    </row>
    <row r="1117" spans="4:19" s="18" customFormat="1" x14ac:dyDescent="0.2">
      <c r="D1117" s="9"/>
      <c r="G1117" s="9"/>
      <c r="J1117" s="9"/>
      <c r="N1117" s="9"/>
      <c r="O1117" s="19"/>
      <c r="P1117" s="19"/>
      <c r="R1117" s="19"/>
      <c r="S1117" s="9"/>
    </row>
    <row r="1118" spans="4:19" s="18" customFormat="1" x14ac:dyDescent="0.2">
      <c r="D1118" s="9"/>
      <c r="G1118" s="9"/>
      <c r="J1118" s="9"/>
      <c r="N1118" s="9"/>
      <c r="O1118" s="19"/>
      <c r="P1118" s="19"/>
      <c r="R1118" s="19"/>
      <c r="S1118" s="9"/>
    </row>
    <row r="1119" spans="4:19" s="18" customFormat="1" x14ac:dyDescent="0.2">
      <c r="D1119" s="9"/>
      <c r="G1119" s="9"/>
      <c r="J1119" s="9"/>
      <c r="N1119" s="9"/>
      <c r="O1119" s="19"/>
      <c r="P1119" s="19"/>
      <c r="R1119" s="19"/>
      <c r="S1119" s="9"/>
    </row>
    <row r="1120" spans="4:19" s="18" customFormat="1" x14ac:dyDescent="0.2">
      <c r="D1120" s="9"/>
      <c r="G1120" s="9"/>
      <c r="J1120" s="9"/>
      <c r="N1120" s="9"/>
      <c r="O1120" s="19"/>
      <c r="P1120" s="19"/>
      <c r="R1120" s="19"/>
      <c r="S1120" s="9"/>
    </row>
    <row r="1121" spans="4:19" s="18" customFormat="1" x14ac:dyDescent="0.2">
      <c r="D1121" s="9"/>
      <c r="G1121" s="9"/>
      <c r="J1121" s="9"/>
      <c r="N1121" s="9"/>
      <c r="O1121" s="19"/>
      <c r="P1121" s="19"/>
      <c r="R1121" s="19"/>
      <c r="S1121" s="9"/>
    </row>
    <row r="1122" spans="4:19" s="18" customFormat="1" x14ac:dyDescent="0.2">
      <c r="D1122" s="9"/>
      <c r="G1122" s="9"/>
      <c r="J1122" s="9"/>
      <c r="N1122" s="9"/>
      <c r="O1122" s="19"/>
      <c r="P1122" s="19"/>
      <c r="R1122" s="19"/>
      <c r="S1122" s="9"/>
    </row>
    <row r="1123" spans="4:19" s="18" customFormat="1" x14ac:dyDescent="0.2">
      <c r="D1123" s="9"/>
      <c r="G1123" s="9"/>
      <c r="J1123" s="9"/>
      <c r="N1123" s="9"/>
      <c r="O1123" s="19"/>
      <c r="P1123" s="19"/>
      <c r="R1123" s="19"/>
      <c r="S1123" s="9"/>
    </row>
    <row r="1124" spans="4:19" s="18" customFormat="1" x14ac:dyDescent="0.2">
      <c r="D1124" s="9"/>
      <c r="G1124" s="9"/>
      <c r="J1124" s="9"/>
      <c r="N1124" s="9"/>
      <c r="O1124" s="19"/>
      <c r="P1124" s="19"/>
      <c r="R1124" s="19"/>
      <c r="S1124" s="9"/>
    </row>
    <row r="1125" spans="4:19" s="18" customFormat="1" x14ac:dyDescent="0.2">
      <c r="D1125" s="9"/>
      <c r="G1125" s="9"/>
      <c r="J1125" s="9"/>
      <c r="N1125" s="9"/>
      <c r="O1125" s="19"/>
      <c r="P1125" s="19"/>
      <c r="R1125" s="19"/>
      <c r="S1125" s="9"/>
    </row>
    <row r="1126" spans="4:19" s="18" customFormat="1" x14ac:dyDescent="0.2">
      <c r="D1126" s="9"/>
      <c r="G1126" s="9"/>
      <c r="J1126" s="9"/>
      <c r="N1126" s="9"/>
      <c r="O1126" s="19"/>
      <c r="P1126" s="19"/>
      <c r="R1126" s="19"/>
      <c r="S1126" s="9"/>
    </row>
    <row r="1127" spans="4:19" s="18" customFormat="1" x14ac:dyDescent="0.2">
      <c r="D1127" s="9"/>
      <c r="G1127" s="9"/>
      <c r="J1127" s="9"/>
      <c r="N1127" s="9"/>
      <c r="O1127" s="19"/>
      <c r="P1127" s="19"/>
      <c r="R1127" s="19"/>
      <c r="S1127" s="9"/>
    </row>
    <row r="1128" spans="4:19" s="18" customFormat="1" x14ac:dyDescent="0.2">
      <c r="D1128" s="9"/>
      <c r="G1128" s="9"/>
      <c r="J1128" s="9"/>
      <c r="N1128" s="9"/>
      <c r="O1128" s="19"/>
      <c r="P1128" s="19"/>
      <c r="R1128" s="19"/>
      <c r="S1128" s="9"/>
    </row>
    <row r="1129" spans="4:19" s="18" customFormat="1" x14ac:dyDescent="0.2">
      <c r="D1129" s="9"/>
      <c r="G1129" s="9"/>
      <c r="J1129" s="9"/>
      <c r="N1129" s="9"/>
      <c r="O1129" s="19"/>
      <c r="P1129" s="19"/>
      <c r="R1129" s="19"/>
      <c r="S1129" s="9"/>
    </row>
    <row r="1130" spans="4:19" s="18" customFormat="1" x14ac:dyDescent="0.2">
      <c r="D1130" s="9"/>
      <c r="G1130" s="9"/>
      <c r="J1130" s="9"/>
      <c r="N1130" s="9"/>
      <c r="O1130" s="19"/>
      <c r="P1130" s="19"/>
      <c r="R1130" s="19"/>
      <c r="S1130" s="9"/>
    </row>
    <row r="1131" spans="4:19" s="18" customFormat="1" x14ac:dyDescent="0.2">
      <c r="D1131" s="9"/>
      <c r="G1131" s="9"/>
      <c r="J1131" s="9"/>
      <c r="N1131" s="9"/>
      <c r="O1131" s="19"/>
      <c r="P1131" s="19"/>
      <c r="R1131" s="19"/>
      <c r="S1131" s="9"/>
    </row>
    <row r="1132" spans="4:19" s="18" customFormat="1" x14ac:dyDescent="0.2">
      <c r="D1132" s="9"/>
      <c r="G1132" s="9"/>
      <c r="J1132" s="9"/>
      <c r="N1132" s="9"/>
      <c r="O1132" s="19"/>
      <c r="P1132" s="19"/>
      <c r="R1132" s="19"/>
      <c r="S1132" s="9"/>
    </row>
    <row r="1133" spans="4:19" s="18" customFormat="1" x14ac:dyDescent="0.2">
      <c r="D1133" s="9"/>
      <c r="G1133" s="9"/>
      <c r="J1133" s="9"/>
      <c r="N1133" s="9"/>
      <c r="O1133" s="19"/>
      <c r="P1133" s="19"/>
      <c r="R1133" s="19"/>
      <c r="S1133" s="9"/>
    </row>
    <row r="1134" spans="4:19" s="18" customFormat="1" x14ac:dyDescent="0.2">
      <c r="D1134" s="9"/>
      <c r="G1134" s="9"/>
      <c r="J1134" s="9"/>
      <c r="N1134" s="9"/>
      <c r="O1134" s="19"/>
      <c r="P1134" s="19"/>
      <c r="R1134" s="19"/>
      <c r="S1134" s="9"/>
    </row>
    <row r="1135" spans="4:19" s="18" customFormat="1" x14ac:dyDescent="0.2">
      <c r="D1135" s="9"/>
      <c r="G1135" s="9"/>
      <c r="J1135" s="9"/>
      <c r="N1135" s="9"/>
      <c r="O1135" s="19"/>
      <c r="P1135" s="19"/>
      <c r="R1135" s="19"/>
      <c r="S1135" s="9"/>
    </row>
    <row r="1136" spans="4:19" s="18" customFormat="1" x14ac:dyDescent="0.2">
      <c r="D1136" s="9"/>
      <c r="G1136" s="9"/>
      <c r="J1136" s="9"/>
      <c r="N1136" s="9"/>
      <c r="O1136" s="19"/>
      <c r="P1136" s="19"/>
      <c r="R1136" s="19"/>
      <c r="S1136" s="9"/>
    </row>
    <row r="1137" spans="4:19" s="18" customFormat="1" x14ac:dyDescent="0.2">
      <c r="D1137" s="9"/>
      <c r="G1137" s="9"/>
      <c r="J1137" s="9"/>
      <c r="N1137" s="9"/>
      <c r="O1137" s="19"/>
      <c r="P1137" s="19"/>
      <c r="R1137" s="19"/>
      <c r="S1137" s="9"/>
    </row>
    <row r="1138" spans="4:19" s="18" customFormat="1" x14ac:dyDescent="0.2">
      <c r="D1138" s="9"/>
      <c r="G1138" s="9"/>
      <c r="J1138" s="9"/>
      <c r="N1138" s="9"/>
      <c r="O1138" s="19"/>
      <c r="P1138" s="19"/>
      <c r="R1138" s="19"/>
      <c r="S1138" s="9"/>
    </row>
    <row r="1139" spans="4:19" s="18" customFormat="1" x14ac:dyDescent="0.2">
      <c r="D1139" s="9"/>
      <c r="G1139" s="9"/>
      <c r="J1139" s="9"/>
      <c r="N1139" s="9"/>
      <c r="O1139" s="19"/>
      <c r="P1139" s="19"/>
      <c r="R1139" s="19"/>
      <c r="S1139" s="9"/>
    </row>
    <row r="1140" spans="4:19" s="18" customFormat="1" x14ac:dyDescent="0.2">
      <c r="D1140" s="9"/>
      <c r="G1140" s="9"/>
      <c r="J1140" s="9"/>
      <c r="N1140" s="9"/>
      <c r="O1140" s="19"/>
      <c r="P1140" s="19"/>
      <c r="R1140" s="19"/>
      <c r="S1140" s="9"/>
    </row>
    <row r="1141" spans="4:19" s="18" customFormat="1" x14ac:dyDescent="0.2">
      <c r="D1141" s="9"/>
      <c r="G1141" s="9"/>
      <c r="J1141" s="9"/>
      <c r="N1141" s="9"/>
      <c r="O1141" s="19"/>
      <c r="P1141" s="19"/>
      <c r="R1141" s="19"/>
      <c r="S1141" s="9"/>
    </row>
    <row r="1142" spans="4:19" s="18" customFormat="1" x14ac:dyDescent="0.2">
      <c r="D1142" s="9"/>
      <c r="G1142" s="9"/>
      <c r="J1142" s="9"/>
      <c r="N1142" s="9"/>
      <c r="O1142" s="19"/>
      <c r="P1142" s="19"/>
      <c r="R1142" s="19"/>
      <c r="S1142" s="9"/>
    </row>
    <row r="1143" spans="4:19" s="18" customFormat="1" x14ac:dyDescent="0.2">
      <c r="D1143" s="9"/>
      <c r="G1143" s="9"/>
      <c r="J1143" s="9"/>
      <c r="N1143" s="9"/>
      <c r="O1143" s="19"/>
      <c r="P1143" s="19"/>
      <c r="R1143" s="19"/>
      <c r="S1143" s="9"/>
    </row>
    <row r="1144" spans="4:19" s="18" customFormat="1" x14ac:dyDescent="0.2">
      <c r="D1144" s="9"/>
      <c r="G1144" s="9"/>
      <c r="J1144" s="9"/>
      <c r="N1144" s="9"/>
      <c r="O1144" s="19"/>
      <c r="P1144" s="19"/>
      <c r="R1144" s="19"/>
      <c r="S1144" s="9"/>
    </row>
    <row r="1145" spans="4:19" s="18" customFormat="1" x14ac:dyDescent="0.2">
      <c r="D1145" s="9"/>
      <c r="G1145" s="9"/>
      <c r="J1145" s="9"/>
      <c r="N1145" s="9"/>
      <c r="O1145" s="19"/>
      <c r="P1145" s="19"/>
      <c r="R1145" s="19"/>
      <c r="S1145" s="9"/>
    </row>
    <row r="1146" spans="4:19" s="18" customFormat="1" x14ac:dyDescent="0.2">
      <c r="D1146" s="9"/>
      <c r="G1146" s="9"/>
      <c r="J1146" s="9"/>
      <c r="N1146" s="9"/>
      <c r="O1146" s="19"/>
      <c r="P1146" s="19"/>
      <c r="R1146" s="19"/>
      <c r="S1146" s="9"/>
    </row>
    <row r="1147" spans="4:19" s="18" customFormat="1" x14ac:dyDescent="0.2">
      <c r="D1147" s="9"/>
      <c r="G1147" s="9"/>
      <c r="J1147" s="9"/>
      <c r="N1147" s="9"/>
      <c r="O1147" s="19"/>
      <c r="P1147" s="19"/>
      <c r="R1147" s="19"/>
      <c r="S1147" s="9"/>
    </row>
    <row r="1148" spans="4:19" s="18" customFormat="1" x14ac:dyDescent="0.2">
      <c r="D1148" s="9"/>
      <c r="G1148" s="9"/>
      <c r="J1148" s="9"/>
      <c r="N1148" s="9"/>
      <c r="O1148" s="19"/>
      <c r="P1148" s="19"/>
      <c r="R1148" s="19"/>
      <c r="S1148" s="9"/>
    </row>
    <row r="1149" spans="4:19" s="18" customFormat="1" x14ac:dyDescent="0.2">
      <c r="D1149" s="9"/>
      <c r="G1149" s="9"/>
      <c r="J1149" s="9"/>
      <c r="N1149" s="9"/>
      <c r="O1149" s="19"/>
      <c r="P1149" s="19"/>
      <c r="R1149" s="19"/>
      <c r="S1149" s="9"/>
    </row>
    <row r="1150" spans="4:19" s="18" customFormat="1" x14ac:dyDescent="0.2">
      <c r="D1150" s="9"/>
      <c r="G1150" s="9"/>
      <c r="J1150" s="9"/>
      <c r="N1150" s="9"/>
      <c r="O1150" s="19"/>
      <c r="P1150" s="19"/>
      <c r="R1150" s="19"/>
      <c r="S1150" s="9"/>
    </row>
    <row r="1151" spans="4:19" s="18" customFormat="1" x14ac:dyDescent="0.2">
      <c r="D1151" s="9"/>
      <c r="G1151" s="9"/>
      <c r="J1151" s="9"/>
      <c r="N1151" s="9"/>
      <c r="O1151" s="19"/>
      <c r="P1151" s="19"/>
      <c r="R1151" s="19"/>
      <c r="S1151" s="9"/>
    </row>
    <row r="1152" spans="4:19" s="18" customFormat="1" x14ac:dyDescent="0.2">
      <c r="D1152" s="9"/>
      <c r="G1152" s="9"/>
      <c r="J1152" s="9"/>
      <c r="N1152" s="9"/>
      <c r="O1152" s="19"/>
      <c r="P1152" s="19"/>
      <c r="R1152" s="19"/>
      <c r="S1152" s="9"/>
    </row>
    <row r="1153" spans="4:19" s="18" customFormat="1" x14ac:dyDescent="0.2">
      <c r="D1153" s="9"/>
      <c r="G1153" s="9"/>
      <c r="J1153" s="9"/>
      <c r="N1153" s="9"/>
      <c r="O1153" s="19"/>
      <c r="P1153" s="19"/>
      <c r="R1153" s="19"/>
      <c r="S1153" s="9"/>
    </row>
    <row r="1154" spans="4:19" s="18" customFormat="1" x14ac:dyDescent="0.2">
      <c r="D1154" s="9"/>
      <c r="G1154" s="9"/>
      <c r="J1154" s="9"/>
      <c r="N1154" s="9"/>
      <c r="O1154" s="19"/>
      <c r="P1154" s="19"/>
      <c r="R1154" s="19"/>
      <c r="S1154" s="9"/>
    </row>
    <row r="1155" spans="4:19" s="18" customFormat="1" x14ac:dyDescent="0.2">
      <c r="D1155" s="9"/>
      <c r="G1155" s="9"/>
      <c r="J1155" s="9"/>
      <c r="N1155" s="9"/>
      <c r="O1155" s="19"/>
      <c r="P1155" s="19"/>
      <c r="R1155" s="19"/>
      <c r="S1155" s="9"/>
    </row>
    <row r="1156" spans="4:19" s="18" customFormat="1" x14ac:dyDescent="0.2">
      <c r="D1156" s="9"/>
      <c r="G1156" s="9"/>
      <c r="J1156" s="9"/>
      <c r="N1156" s="9"/>
      <c r="O1156" s="19"/>
      <c r="P1156" s="19"/>
      <c r="R1156" s="19"/>
      <c r="S1156" s="9"/>
    </row>
    <row r="1157" spans="4:19" s="18" customFormat="1" x14ac:dyDescent="0.2">
      <c r="D1157" s="9"/>
      <c r="G1157" s="9"/>
      <c r="J1157" s="9"/>
      <c r="N1157" s="9"/>
      <c r="O1157" s="19"/>
      <c r="P1157" s="19"/>
      <c r="R1157" s="19"/>
      <c r="S1157" s="9"/>
    </row>
    <row r="1158" spans="4:19" s="18" customFormat="1" x14ac:dyDescent="0.2">
      <c r="D1158" s="9"/>
      <c r="G1158" s="9"/>
      <c r="J1158" s="9"/>
      <c r="N1158" s="9"/>
      <c r="O1158" s="19"/>
      <c r="P1158" s="19"/>
      <c r="R1158" s="19"/>
      <c r="S1158" s="9"/>
    </row>
    <row r="1159" spans="4:19" s="18" customFormat="1" x14ac:dyDescent="0.2">
      <c r="D1159" s="9"/>
      <c r="G1159" s="9"/>
      <c r="J1159" s="9"/>
      <c r="N1159" s="9"/>
      <c r="O1159" s="19"/>
      <c r="P1159" s="19"/>
      <c r="R1159" s="19"/>
      <c r="S1159" s="9"/>
    </row>
    <row r="1160" spans="4:19" s="18" customFormat="1" x14ac:dyDescent="0.2">
      <c r="D1160" s="9"/>
      <c r="G1160" s="9"/>
      <c r="J1160" s="9"/>
      <c r="N1160" s="9"/>
      <c r="O1160" s="19"/>
      <c r="P1160" s="19"/>
      <c r="R1160" s="19"/>
      <c r="S1160" s="9"/>
    </row>
    <row r="1161" spans="4:19" s="18" customFormat="1" x14ac:dyDescent="0.2">
      <c r="D1161" s="9"/>
      <c r="G1161" s="9"/>
      <c r="J1161" s="9"/>
      <c r="N1161" s="9"/>
      <c r="O1161" s="19"/>
      <c r="P1161" s="19"/>
      <c r="R1161" s="19"/>
      <c r="S1161" s="9"/>
    </row>
    <row r="1162" spans="4:19" s="18" customFormat="1" x14ac:dyDescent="0.2">
      <c r="D1162" s="9"/>
      <c r="G1162" s="9"/>
      <c r="J1162" s="9"/>
      <c r="N1162" s="9"/>
      <c r="O1162" s="19"/>
      <c r="P1162" s="19"/>
      <c r="R1162" s="19"/>
      <c r="S1162" s="9"/>
    </row>
    <row r="1163" spans="4:19" s="18" customFormat="1" x14ac:dyDescent="0.2">
      <c r="D1163" s="9"/>
      <c r="G1163" s="9"/>
      <c r="J1163" s="9"/>
      <c r="N1163" s="9"/>
      <c r="O1163" s="19"/>
      <c r="P1163" s="19"/>
      <c r="R1163" s="19"/>
      <c r="S1163" s="9"/>
    </row>
    <row r="1164" spans="4:19" s="18" customFormat="1" x14ac:dyDescent="0.2">
      <c r="D1164" s="9"/>
      <c r="G1164" s="9"/>
      <c r="J1164" s="9"/>
      <c r="N1164" s="9"/>
      <c r="O1164" s="19"/>
      <c r="P1164" s="19"/>
      <c r="R1164" s="19"/>
      <c r="S1164" s="9"/>
    </row>
    <row r="1165" spans="4:19" s="18" customFormat="1" x14ac:dyDescent="0.2">
      <c r="D1165" s="9"/>
      <c r="G1165" s="9"/>
      <c r="J1165" s="9"/>
      <c r="N1165" s="9"/>
      <c r="O1165" s="19"/>
      <c r="P1165" s="19"/>
      <c r="R1165" s="19"/>
      <c r="S1165" s="9"/>
    </row>
    <row r="1166" spans="4:19" s="18" customFormat="1" x14ac:dyDescent="0.2">
      <c r="D1166" s="9"/>
      <c r="G1166" s="9"/>
      <c r="J1166" s="9"/>
      <c r="N1166" s="9"/>
      <c r="O1166" s="19"/>
      <c r="P1166" s="19"/>
      <c r="R1166" s="19"/>
      <c r="S1166" s="9"/>
    </row>
    <row r="1167" spans="4:19" s="18" customFormat="1" x14ac:dyDescent="0.2">
      <c r="D1167" s="9"/>
      <c r="G1167" s="9"/>
      <c r="J1167" s="9"/>
      <c r="N1167" s="9"/>
      <c r="O1167" s="19"/>
      <c r="P1167" s="19"/>
      <c r="R1167" s="19"/>
      <c r="S1167" s="9"/>
    </row>
    <row r="1168" spans="4:19" s="18" customFormat="1" x14ac:dyDescent="0.2">
      <c r="D1168" s="9"/>
      <c r="G1168" s="9"/>
      <c r="J1168" s="9"/>
      <c r="N1168" s="9"/>
      <c r="O1168" s="19"/>
      <c r="P1168" s="19"/>
      <c r="R1168" s="19"/>
      <c r="S1168" s="9"/>
    </row>
    <row r="1169" spans="4:19" s="18" customFormat="1" x14ac:dyDescent="0.2">
      <c r="D1169" s="9"/>
      <c r="G1169" s="9"/>
      <c r="J1169" s="9"/>
      <c r="N1169" s="9"/>
      <c r="O1169" s="19"/>
      <c r="P1169" s="19"/>
      <c r="R1169" s="19"/>
      <c r="S1169" s="9"/>
    </row>
    <row r="1170" spans="4:19" s="18" customFormat="1" x14ac:dyDescent="0.2">
      <c r="D1170" s="9"/>
      <c r="G1170" s="9"/>
      <c r="J1170" s="9"/>
      <c r="N1170" s="9"/>
      <c r="O1170" s="19"/>
      <c r="P1170" s="19"/>
      <c r="R1170" s="19"/>
      <c r="S1170" s="9"/>
    </row>
    <row r="1171" spans="4:19" s="18" customFormat="1" x14ac:dyDescent="0.2">
      <c r="D1171" s="9"/>
      <c r="G1171" s="9"/>
      <c r="J1171" s="9"/>
      <c r="N1171" s="9"/>
      <c r="O1171" s="19"/>
      <c r="P1171" s="19"/>
      <c r="R1171" s="19"/>
      <c r="S1171" s="9"/>
    </row>
    <row r="1172" spans="4:19" s="18" customFormat="1" x14ac:dyDescent="0.2">
      <c r="D1172" s="9"/>
      <c r="G1172" s="9"/>
      <c r="J1172" s="9"/>
      <c r="N1172" s="9"/>
      <c r="O1172" s="19"/>
      <c r="P1172" s="19"/>
      <c r="R1172" s="19"/>
      <c r="S1172" s="9"/>
    </row>
    <row r="1173" spans="4:19" s="18" customFormat="1" x14ac:dyDescent="0.2">
      <c r="D1173" s="9"/>
      <c r="G1173" s="9"/>
      <c r="J1173" s="9"/>
      <c r="N1173" s="9"/>
      <c r="O1173" s="19"/>
      <c r="P1173" s="19"/>
      <c r="R1173" s="19"/>
      <c r="S1173" s="9"/>
    </row>
    <row r="1174" spans="4:19" s="18" customFormat="1" x14ac:dyDescent="0.2">
      <c r="D1174" s="9"/>
      <c r="G1174" s="9"/>
      <c r="J1174" s="9"/>
      <c r="N1174" s="9"/>
      <c r="O1174" s="19"/>
      <c r="P1174" s="19"/>
      <c r="R1174" s="19"/>
      <c r="S1174" s="9"/>
    </row>
    <row r="1175" spans="4:19" s="18" customFormat="1" x14ac:dyDescent="0.2">
      <c r="D1175" s="9"/>
      <c r="G1175" s="9"/>
      <c r="J1175" s="9"/>
      <c r="N1175" s="9"/>
      <c r="O1175" s="19"/>
      <c r="P1175" s="19"/>
      <c r="R1175" s="19"/>
      <c r="S1175" s="9"/>
    </row>
    <row r="1176" spans="4:19" s="18" customFormat="1" x14ac:dyDescent="0.2">
      <c r="D1176" s="9"/>
      <c r="G1176" s="9"/>
      <c r="J1176" s="9"/>
      <c r="N1176" s="9"/>
      <c r="O1176" s="19"/>
      <c r="P1176" s="19"/>
      <c r="R1176" s="19"/>
      <c r="S1176" s="9"/>
    </row>
    <row r="1177" spans="4:19" s="18" customFormat="1" x14ac:dyDescent="0.2">
      <c r="D1177" s="9"/>
      <c r="G1177" s="9"/>
      <c r="J1177" s="9"/>
      <c r="N1177" s="9"/>
      <c r="O1177" s="19"/>
      <c r="P1177" s="19"/>
      <c r="R1177" s="19"/>
      <c r="S1177" s="9"/>
    </row>
    <row r="1178" spans="4:19" s="18" customFormat="1" x14ac:dyDescent="0.2">
      <c r="D1178" s="9"/>
      <c r="G1178" s="9"/>
      <c r="J1178" s="9"/>
      <c r="N1178" s="9"/>
      <c r="O1178" s="19"/>
      <c r="P1178" s="19"/>
      <c r="R1178" s="19"/>
      <c r="S1178" s="9"/>
    </row>
    <row r="1179" spans="4:19" s="18" customFormat="1" x14ac:dyDescent="0.2">
      <c r="D1179" s="9"/>
      <c r="G1179" s="9"/>
      <c r="J1179" s="9"/>
      <c r="N1179" s="9"/>
      <c r="O1179" s="19"/>
      <c r="P1179" s="19"/>
      <c r="R1179" s="19"/>
      <c r="S1179" s="9"/>
    </row>
    <row r="1180" spans="4:19" s="18" customFormat="1" x14ac:dyDescent="0.2">
      <c r="D1180" s="9"/>
      <c r="G1180" s="9"/>
      <c r="J1180" s="9"/>
      <c r="N1180" s="9"/>
      <c r="O1180" s="19"/>
      <c r="P1180" s="19"/>
      <c r="R1180" s="19"/>
      <c r="S1180" s="9"/>
    </row>
    <row r="1181" spans="4:19" s="18" customFormat="1" x14ac:dyDescent="0.2">
      <c r="D1181" s="9"/>
      <c r="G1181" s="9"/>
      <c r="J1181" s="9"/>
      <c r="N1181" s="9"/>
      <c r="O1181" s="19"/>
      <c r="P1181" s="19"/>
      <c r="R1181" s="19"/>
      <c r="S1181" s="9"/>
    </row>
    <row r="1182" spans="4:19" s="18" customFormat="1" x14ac:dyDescent="0.2">
      <c r="D1182" s="9"/>
      <c r="G1182" s="9"/>
      <c r="J1182" s="9"/>
      <c r="N1182" s="9"/>
      <c r="O1182" s="19"/>
      <c r="P1182" s="19"/>
      <c r="R1182" s="19"/>
      <c r="S1182" s="9"/>
    </row>
    <row r="1183" spans="4:19" s="18" customFormat="1" x14ac:dyDescent="0.2">
      <c r="D1183" s="9"/>
      <c r="G1183" s="9"/>
      <c r="J1183" s="9"/>
      <c r="N1183" s="9"/>
      <c r="O1183" s="19"/>
      <c r="P1183" s="19"/>
      <c r="R1183" s="19"/>
      <c r="S1183" s="9"/>
    </row>
    <row r="1184" spans="4:19" s="18" customFormat="1" x14ac:dyDescent="0.2">
      <c r="D1184" s="9"/>
      <c r="G1184" s="9"/>
      <c r="J1184" s="9"/>
      <c r="N1184" s="9"/>
      <c r="O1184" s="19"/>
      <c r="P1184" s="19"/>
      <c r="R1184" s="19"/>
      <c r="S1184" s="9"/>
    </row>
    <row r="1185" spans="4:19" s="18" customFormat="1" x14ac:dyDescent="0.2">
      <c r="D1185" s="9"/>
      <c r="G1185" s="9"/>
      <c r="J1185" s="9"/>
      <c r="N1185" s="9"/>
      <c r="O1185" s="19"/>
      <c r="P1185" s="19"/>
      <c r="R1185" s="19"/>
      <c r="S1185" s="9"/>
    </row>
    <row r="1186" spans="4:19" s="18" customFormat="1" x14ac:dyDescent="0.2">
      <c r="D1186" s="9"/>
      <c r="G1186" s="9"/>
      <c r="J1186" s="9"/>
      <c r="N1186" s="9"/>
      <c r="O1186" s="19"/>
      <c r="P1186" s="19"/>
      <c r="R1186" s="19"/>
      <c r="S1186" s="9"/>
    </row>
    <row r="1187" spans="4:19" s="18" customFormat="1" x14ac:dyDescent="0.2">
      <c r="D1187" s="9"/>
      <c r="G1187" s="9"/>
      <c r="J1187" s="9"/>
      <c r="N1187" s="9"/>
      <c r="O1187" s="19"/>
      <c r="P1187" s="19"/>
      <c r="R1187" s="19"/>
      <c r="S1187" s="9"/>
    </row>
    <row r="1188" spans="4:19" s="18" customFormat="1" x14ac:dyDescent="0.2">
      <c r="D1188" s="9"/>
      <c r="G1188" s="9"/>
      <c r="J1188" s="9"/>
      <c r="N1188" s="9"/>
      <c r="O1188" s="19"/>
      <c r="P1188" s="19"/>
      <c r="R1188" s="19"/>
      <c r="S1188" s="9"/>
    </row>
    <row r="1189" spans="4:19" s="18" customFormat="1" x14ac:dyDescent="0.2">
      <c r="D1189" s="9"/>
      <c r="G1189" s="9"/>
      <c r="J1189" s="9"/>
      <c r="N1189" s="9"/>
      <c r="O1189" s="19"/>
      <c r="P1189" s="19"/>
      <c r="R1189" s="19"/>
      <c r="S1189" s="9"/>
    </row>
    <row r="1190" spans="4:19" s="18" customFormat="1" x14ac:dyDescent="0.2">
      <c r="D1190" s="9"/>
      <c r="G1190" s="9"/>
      <c r="J1190" s="9"/>
      <c r="N1190" s="9"/>
      <c r="O1190" s="19"/>
      <c r="P1190" s="19"/>
      <c r="R1190" s="19"/>
      <c r="S1190" s="9"/>
    </row>
    <row r="1191" spans="4:19" s="18" customFormat="1" x14ac:dyDescent="0.2">
      <c r="D1191" s="9"/>
      <c r="G1191" s="9"/>
      <c r="J1191" s="9"/>
      <c r="N1191" s="9"/>
      <c r="O1191" s="19"/>
      <c r="P1191" s="19"/>
      <c r="R1191" s="19"/>
      <c r="S1191" s="9"/>
    </row>
    <row r="1192" spans="4:19" s="18" customFormat="1" x14ac:dyDescent="0.2">
      <c r="D1192" s="9"/>
      <c r="G1192" s="9"/>
      <c r="J1192" s="9"/>
      <c r="N1192" s="9"/>
      <c r="O1192" s="19"/>
      <c r="P1192" s="19"/>
      <c r="R1192" s="19"/>
      <c r="S1192" s="9"/>
    </row>
    <row r="1193" spans="4:19" s="18" customFormat="1" x14ac:dyDescent="0.2">
      <c r="D1193" s="9"/>
      <c r="G1193" s="9"/>
      <c r="J1193" s="9"/>
      <c r="N1193" s="9"/>
      <c r="O1193" s="19"/>
      <c r="P1193" s="19"/>
      <c r="R1193" s="19"/>
      <c r="S1193" s="9"/>
    </row>
    <row r="1194" spans="4:19" s="18" customFormat="1" x14ac:dyDescent="0.2">
      <c r="D1194" s="9"/>
      <c r="G1194" s="9"/>
      <c r="J1194" s="9"/>
      <c r="N1194" s="9"/>
      <c r="O1194" s="19"/>
      <c r="P1194" s="19"/>
      <c r="R1194" s="19"/>
      <c r="S1194" s="9"/>
    </row>
    <row r="1195" spans="4:19" s="18" customFormat="1" x14ac:dyDescent="0.2">
      <c r="D1195" s="9"/>
      <c r="G1195" s="9"/>
      <c r="J1195" s="9"/>
      <c r="N1195" s="9"/>
      <c r="O1195" s="19"/>
      <c r="P1195" s="19"/>
      <c r="R1195" s="19"/>
      <c r="S1195" s="9"/>
    </row>
    <row r="1196" spans="4:19" s="18" customFormat="1" x14ac:dyDescent="0.2">
      <c r="D1196" s="9"/>
      <c r="G1196" s="9"/>
      <c r="J1196" s="9"/>
      <c r="N1196" s="9"/>
      <c r="O1196" s="19"/>
      <c r="P1196" s="19"/>
      <c r="R1196" s="19"/>
      <c r="S1196" s="9"/>
    </row>
    <row r="1197" spans="4:19" s="18" customFormat="1" x14ac:dyDescent="0.2">
      <c r="D1197" s="9"/>
      <c r="G1197" s="9"/>
      <c r="J1197" s="9"/>
      <c r="N1197" s="9"/>
      <c r="O1197" s="19"/>
      <c r="P1197" s="19"/>
      <c r="R1197" s="19"/>
      <c r="S1197" s="9"/>
    </row>
    <row r="1198" spans="4:19" s="18" customFormat="1" x14ac:dyDescent="0.2">
      <c r="D1198" s="9"/>
      <c r="G1198" s="9"/>
      <c r="J1198" s="9"/>
      <c r="N1198" s="9"/>
      <c r="O1198" s="19"/>
      <c r="P1198" s="19"/>
      <c r="R1198" s="19"/>
      <c r="S1198" s="9"/>
    </row>
    <row r="1199" spans="4:19" s="18" customFormat="1" x14ac:dyDescent="0.2">
      <c r="D1199" s="9"/>
      <c r="G1199" s="9"/>
      <c r="J1199" s="9"/>
      <c r="N1199" s="9"/>
      <c r="O1199" s="19"/>
      <c r="P1199" s="19"/>
      <c r="R1199" s="19"/>
      <c r="S1199" s="9"/>
    </row>
    <row r="1200" spans="4:19" s="18" customFormat="1" x14ac:dyDescent="0.2">
      <c r="D1200" s="9"/>
      <c r="G1200" s="9"/>
      <c r="J1200" s="9"/>
      <c r="N1200" s="9"/>
      <c r="O1200" s="19"/>
      <c r="P1200" s="19"/>
      <c r="R1200" s="19"/>
      <c r="S1200" s="9"/>
    </row>
    <row r="1201" spans="4:19" s="18" customFormat="1" x14ac:dyDescent="0.2">
      <c r="D1201" s="9"/>
      <c r="G1201" s="9"/>
      <c r="J1201" s="9"/>
      <c r="N1201" s="9"/>
      <c r="O1201" s="19"/>
      <c r="P1201" s="19"/>
      <c r="R1201" s="19"/>
      <c r="S1201" s="9"/>
    </row>
    <row r="1202" spans="4:19" s="18" customFormat="1" x14ac:dyDescent="0.2">
      <c r="D1202" s="9"/>
      <c r="G1202" s="9"/>
      <c r="J1202" s="9"/>
      <c r="N1202" s="9"/>
      <c r="O1202" s="19"/>
      <c r="P1202" s="19"/>
      <c r="R1202" s="19"/>
      <c r="S1202" s="9"/>
    </row>
    <row r="1203" spans="4:19" s="18" customFormat="1" x14ac:dyDescent="0.2">
      <c r="D1203" s="9"/>
      <c r="G1203" s="9"/>
      <c r="J1203" s="9"/>
      <c r="N1203" s="9"/>
      <c r="O1203" s="19"/>
      <c r="P1203" s="19"/>
      <c r="R1203" s="19"/>
      <c r="S1203" s="9"/>
    </row>
    <row r="1204" spans="4:19" s="18" customFormat="1" x14ac:dyDescent="0.2">
      <c r="D1204" s="9"/>
      <c r="G1204" s="9"/>
      <c r="J1204" s="9"/>
      <c r="N1204" s="9"/>
      <c r="O1204" s="19"/>
      <c r="P1204" s="19"/>
      <c r="R1204" s="19"/>
      <c r="S1204" s="9"/>
    </row>
    <row r="1205" spans="4:19" s="18" customFormat="1" x14ac:dyDescent="0.2">
      <c r="D1205" s="9"/>
      <c r="G1205" s="9"/>
      <c r="J1205" s="9"/>
      <c r="N1205" s="9"/>
      <c r="O1205" s="19"/>
      <c r="P1205" s="19"/>
      <c r="R1205" s="19"/>
      <c r="S1205" s="9"/>
    </row>
    <row r="1206" spans="4:19" s="18" customFormat="1" x14ac:dyDescent="0.2">
      <c r="D1206" s="9"/>
      <c r="G1206" s="9"/>
      <c r="J1206" s="9"/>
      <c r="N1206" s="9"/>
      <c r="O1206" s="19"/>
      <c r="P1206" s="19"/>
      <c r="R1206" s="19"/>
      <c r="S1206" s="9"/>
    </row>
    <row r="1207" spans="4:19" s="18" customFormat="1" x14ac:dyDescent="0.2">
      <c r="D1207" s="9"/>
      <c r="G1207" s="9"/>
      <c r="J1207" s="9"/>
      <c r="N1207" s="9"/>
      <c r="O1207" s="19"/>
      <c r="P1207" s="19"/>
      <c r="R1207" s="19"/>
      <c r="S1207" s="9"/>
    </row>
    <row r="1208" spans="4:19" s="18" customFormat="1" x14ac:dyDescent="0.2">
      <c r="D1208" s="9"/>
      <c r="G1208" s="9"/>
      <c r="J1208" s="9"/>
      <c r="N1208" s="9"/>
      <c r="O1208" s="19"/>
      <c r="P1208" s="19"/>
      <c r="R1208" s="19"/>
      <c r="S1208" s="9"/>
    </row>
    <row r="1209" spans="4:19" s="18" customFormat="1" x14ac:dyDescent="0.2">
      <c r="D1209" s="9"/>
      <c r="G1209" s="9"/>
      <c r="J1209" s="9"/>
      <c r="N1209" s="9"/>
      <c r="O1209" s="19"/>
      <c r="P1209" s="19"/>
      <c r="R1209" s="19"/>
      <c r="S1209" s="9"/>
    </row>
    <row r="1210" spans="4:19" s="18" customFormat="1" x14ac:dyDescent="0.2">
      <c r="D1210" s="9"/>
      <c r="G1210" s="9"/>
      <c r="J1210" s="9"/>
      <c r="N1210" s="9"/>
      <c r="O1210" s="19"/>
      <c r="P1210" s="19"/>
      <c r="R1210" s="19"/>
      <c r="S1210" s="9"/>
    </row>
    <row r="1211" spans="4:19" s="18" customFormat="1" x14ac:dyDescent="0.2">
      <c r="D1211" s="9"/>
      <c r="G1211" s="9"/>
      <c r="J1211" s="9"/>
      <c r="N1211" s="9"/>
      <c r="O1211" s="19"/>
      <c r="P1211" s="19"/>
      <c r="R1211" s="19"/>
      <c r="S1211" s="9"/>
    </row>
    <row r="1212" spans="4:19" s="18" customFormat="1" x14ac:dyDescent="0.2">
      <c r="D1212" s="9"/>
      <c r="G1212" s="9"/>
      <c r="J1212" s="9"/>
      <c r="N1212" s="9"/>
      <c r="O1212" s="19"/>
      <c r="P1212" s="19"/>
      <c r="R1212" s="19"/>
      <c r="S1212" s="9"/>
    </row>
    <row r="1213" spans="4:19" s="18" customFormat="1" x14ac:dyDescent="0.2">
      <c r="D1213" s="9"/>
      <c r="G1213" s="9"/>
      <c r="J1213" s="9"/>
      <c r="N1213" s="9"/>
      <c r="O1213" s="19"/>
      <c r="P1213" s="19"/>
      <c r="R1213" s="19"/>
      <c r="S1213" s="9"/>
    </row>
    <row r="1214" spans="4:19" s="18" customFormat="1" x14ac:dyDescent="0.2">
      <c r="D1214" s="9"/>
      <c r="G1214" s="9"/>
      <c r="J1214" s="9"/>
      <c r="N1214" s="9"/>
      <c r="O1214" s="19"/>
      <c r="P1214" s="19"/>
      <c r="R1214" s="19"/>
      <c r="S1214" s="9"/>
    </row>
    <row r="1215" spans="4:19" s="18" customFormat="1" x14ac:dyDescent="0.2">
      <c r="D1215" s="9"/>
      <c r="G1215" s="9"/>
      <c r="J1215" s="9"/>
      <c r="N1215" s="9"/>
      <c r="O1215" s="19"/>
      <c r="P1215" s="19"/>
      <c r="R1215" s="19"/>
      <c r="S1215" s="9"/>
    </row>
    <row r="1216" spans="4:19" s="18" customFormat="1" x14ac:dyDescent="0.2">
      <c r="D1216" s="9"/>
      <c r="G1216" s="9"/>
      <c r="J1216" s="9"/>
      <c r="N1216" s="9"/>
      <c r="O1216" s="19"/>
      <c r="P1216" s="19"/>
      <c r="R1216" s="19"/>
      <c r="S1216" s="9"/>
    </row>
    <row r="1217" spans="4:19" s="18" customFormat="1" x14ac:dyDescent="0.2">
      <c r="D1217" s="9"/>
      <c r="G1217" s="9"/>
      <c r="J1217" s="9"/>
      <c r="N1217" s="9"/>
      <c r="O1217" s="19"/>
      <c r="P1217" s="19"/>
      <c r="R1217" s="19"/>
      <c r="S1217" s="9"/>
    </row>
    <row r="1218" spans="4:19" s="18" customFormat="1" x14ac:dyDescent="0.2">
      <c r="D1218" s="9"/>
      <c r="G1218" s="9"/>
      <c r="J1218" s="9"/>
      <c r="N1218" s="9"/>
      <c r="O1218" s="19"/>
      <c r="P1218" s="19"/>
      <c r="R1218" s="19"/>
      <c r="S1218" s="9"/>
    </row>
    <row r="1219" spans="4:19" s="18" customFormat="1" x14ac:dyDescent="0.2">
      <c r="D1219" s="9"/>
      <c r="G1219" s="9"/>
      <c r="J1219" s="9"/>
      <c r="N1219" s="9"/>
      <c r="O1219" s="19"/>
      <c r="P1219" s="19"/>
      <c r="R1219" s="19"/>
      <c r="S1219" s="9"/>
    </row>
    <row r="1220" spans="4:19" s="18" customFormat="1" x14ac:dyDescent="0.2">
      <c r="D1220" s="9"/>
      <c r="G1220" s="9"/>
      <c r="J1220" s="9"/>
      <c r="N1220" s="9"/>
      <c r="O1220" s="19"/>
      <c r="P1220" s="19"/>
      <c r="R1220" s="19"/>
      <c r="S1220" s="9"/>
    </row>
    <row r="1221" spans="4:19" s="18" customFormat="1" x14ac:dyDescent="0.2">
      <c r="D1221" s="9"/>
      <c r="G1221" s="9"/>
      <c r="J1221" s="9"/>
      <c r="N1221" s="9"/>
      <c r="O1221" s="19"/>
      <c r="P1221" s="19"/>
      <c r="R1221" s="19"/>
      <c r="S1221" s="9"/>
    </row>
    <row r="1222" spans="4:19" s="18" customFormat="1" x14ac:dyDescent="0.2">
      <c r="D1222" s="9"/>
      <c r="G1222" s="9"/>
      <c r="J1222" s="9"/>
      <c r="N1222" s="9"/>
      <c r="O1222" s="19"/>
      <c r="P1222" s="19"/>
      <c r="R1222" s="19"/>
      <c r="S1222" s="9"/>
    </row>
    <row r="1223" spans="4:19" s="18" customFormat="1" x14ac:dyDescent="0.2">
      <c r="D1223" s="9"/>
      <c r="G1223" s="9"/>
      <c r="J1223" s="9"/>
      <c r="N1223" s="9"/>
      <c r="O1223" s="19"/>
      <c r="P1223" s="19"/>
      <c r="R1223" s="19"/>
      <c r="S1223" s="9"/>
    </row>
    <row r="1224" spans="4:19" s="18" customFormat="1" x14ac:dyDescent="0.2">
      <c r="D1224" s="9"/>
      <c r="G1224" s="9"/>
      <c r="J1224" s="9"/>
      <c r="N1224" s="9"/>
      <c r="O1224" s="19"/>
      <c r="P1224" s="19"/>
      <c r="R1224" s="19"/>
      <c r="S1224" s="9"/>
    </row>
    <row r="1225" spans="4:19" s="18" customFormat="1" x14ac:dyDescent="0.2">
      <c r="D1225" s="9"/>
      <c r="G1225" s="9"/>
      <c r="J1225" s="9"/>
      <c r="N1225" s="9"/>
      <c r="O1225" s="19"/>
      <c r="P1225" s="19"/>
      <c r="R1225" s="19"/>
      <c r="S1225" s="9"/>
    </row>
    <row r="1226" spans="4:19" s="18" customFormat="1" x14ac:dyDescent="0.2">
      <c r="D1226" s="9"/>
      <c r="G1226" s="9"/>
      <c r="J1226" s="9"/>
      <c r="N1226" s="9"/>
      <c r="O1226" s="19"/>
      <c r="P1226" s="19"/>
      <c r="R1226" s="19"/>
      <c r="S1226" s="9"/>
    </row>
    <row r="1227" spans="4:19" s="18" customFormat="1" x14ac:dyDescent="0.2">
      <c r="D1227" s="9"/>
      <c r="G1227" s="9"/>
      <c r="J1227" s="9"/>
      <c r="N1227" s="9"/>
      <c r="O1227" s="19"/>
      <c r="P1227" s="19"/>
      <c r="R1227" s="19"/>
      <c r="S1227" s="9"/>
    </row>
    <row r="1228" spans="4:19" s="18" customFormat="1" x14ac:dyDescent="0.2">
      <c r="D1228" s="9"/>
      <c r="G1228" s="9"/>
      <c r="J1228" s="9"/>
      <c r="N1228" s="9"/>
      <c r="O1228" s="19"/>
      <c r="P1228" s="19"/>
      <c r="R1228" s="19"/>
      <c r="S1228" s="9"/>
    </row>
    <row r="1229" spans="4:19" s="18" customFormat="1" x14ac:dyDescent="0.2">
      <c r="D1229" s="9"/>
      <c r="G1229" s="9"/>
      <c r="J1229" s="9"/>
      <c r="N1229" s="9"/>
      <c r="O1229" s="19"/>
      <c r="P1229" s="19"/>
      <c r="R1229" s="19"/>
      <c r="S1229" s="9"/>
    </row>
    <row r="1230" spans="4:19" s="18" customFormat="1" x14ac:dyDescent="0.2">
      <c r="D1230" s="9"/>
      <c r="G1230" s="9"/>
      <c r="J1230" s="9"/>
      <c r="N1230" s="9"/>
      <c r="O1230" s="19"/>
      <c r="P1230" s="19"/>
      <c r="R1230" s="19"/>
      <c r="S1230" s="9"/>
    </row>
    <row r="1231" spans="4:19" s="18" customFormat="1" x14ac:dyDescent="0.2">
      <c r="D1231" s="9"/>
      <c r="G1231" s="9"/>
      <c r="J1231" s="9"/>
      <c r="N1231" s="9"/>
      <c r="O1231" s="19"/>
      <c r="P1231" s="19"/>
      <c r="R1231" s="19"/>
      <c r="S1231" s="9"/>
    </row>
    <row r="1232" spans="4:19" s="18" customFormat="1" x14ac:dyDescent="0.2">
      <c r="D1232" s="9"/>
      <c r="G1232" s="9"/>
      <c r="J1232" s="9"/>
      <c r="N1232" s="9"/>
      <c r="O1232" s="19"/>
      <c r="P1232" s="19"/>
      <c r="R1232" s="19"/>
      <c r="S1232" s="9"/>
    </row>
    <row r="1233" spans="4:19" s="18" customFormat="1" x14ac:dyDescent="0.2">
      <c r="D1233" s="9"/>
      <c r="G1233" s="9"/>
      <c r="J1233" s="9"/>
      <c r="N1233" s="9"/>
      <c r="O1233" s="19"/>
      <c r="P1233" s="19"/>
      <c r="R1233" s="19"/>
      <c r="S1233" s="9"/>
    </row>
    <row r="1234" spans="4:19" s="18" customFormat="1" x14ac:dyDescent="0.2">
      <c r="D1234" s="9"/>
      <c r="G1234" s="9"/>
      <c r="J1234" s="9"/>
      <c r="N1234" s="9"/>
      <c r="O1234" s="19"/>
      <c r="P1234" s="19"/>
      <c r="R1234" s="19"/>
      <c r="S1234" s="9"/>
    </row>
    <row r="1235" spans="4:19" s="18" customFormat="1" x14ac:dyDescent="0.2">
      <c r="D1235" s="9"/>
      <c r="G1235" s="9"/>
      <c r="J1235" s="9"/>
      <c r="N1235" s="9"/>
      <c r="O1235" s="19"/>
      <c r="P1235" s="19"/>
      <c r="R1235" s="19"/>
      <c r="S1235" s="9"/>
    </row>
    <row r="1236" spans="4:19" s="18" customFormat="1" x14ac:dyDescent="0.2">
      <c r="D1236" s="9"/>
      <c r="G1236" s="9"/>
      <c r="J1236" s="9"/>
      <c r="N1236" s="9"/>
      <c r="O1236" s="19"/>
      <c r="P1236" s="19"/>
      <c r="R1236" s="19"/>
      <c r="S1236" s="9"/>
    </row>
    <row r="1237" spans="4:19" s="18" customFormat="1" x14ac:dyDescent="0.2">
      <c r="D1237" s="9"/>
      <c r="G1237" s="9"/>
      <c r="J1237" s="9"/>
      <c r="N1237" s="9"/>
      <c r="O1237" s="19"/>
      <c r="P1237" s="19"/>
      <c r="R1237" s="19"/>
      <c r="S1237" s="9"/>
    </row>
    <row r="1238" spans="4:19" s="18" customFormat="1" x14ac:dyDescent="0.2">
      <c r="D1238" s="9"/>
      <c r="G1238" s="9"/>
      <c r="J1238" s="9"/>
      <c r="N1238" s="9"/>
      <c r="O1238" s="19"/>
      <c r="P1238" s="19"/>
      <c r="R1238" s="19"/>
      <c r="S1238" s="9"/>
    </row>
    <row r="1239" spans="4:19" s="18" customFormat="1" x14ac:dyDescent="0.2">
      <c r="D1239" s="9"/>
      <c r="G1239" s="9"/>
      <c r="J1239" s="9"/>
      <c r="N1239" s="9"/>
      <c r="O1239" s="19"/>
      <c r="P1239" s="19"/>
      <c r="R1239" s="19"/>
      <c r="S1239" s="9"/>
    </row>
    <row r="1240" spans="4:19" s="18" customFormat="1" x14ac:dyDescent="0.2">
      <c r="D1240" s="9"/>
      <c r="G1240" s="9"/>
      <c r="J1240" s="9"/>
      <c r="N1240" s="9"/>
      <c r="O1240" s="19"/>
      <c r="P1240" s="19"/>
      <c r="R1240" s="19"/>
      <c r="S1240" s="9"/>
    </row>
    <row r="1241" spans="4:19" s="18" customFormat="1" x14ac:dyDescent="0.2">
      <c r="D1241" s="9"/>
      <c r="G1241" s="9"/>
      <c r="J1241" s="9"/>
      <c r="N1241" s="9"/>
      <c r="O1241" s="19"/>
      <c r="P1241" s="19"/>
      <c r="R1241" s="19"/>
      <c r="S1241" s="9"/>
    </row>
    <row r="1242" spans="4:19" s="18" customFormat="1" x14ac:dyDescent="0.2">
      <c r="D1242" s="9"/>
      <c r="G1242" s="9"/>
      <c r="J1242" s="9"/>
      <c r="N1242" s="9"/>
      <c r="O1242" s="19"/>
      <c r="P1242" s="19"/>
      <c r="R1242" s="19"/>
      <c r="S1242" s="9"/>
    </row>
    <row r="1243" spans="4:19" s="18" customFormat="1" x14ac:dyDescent="0.2">
      <c r="D1243" s="9"/>
      <c r="G1243" s="9"/>
      <c r="J1243" s="9"/>
      <c r="N1243" s="9"/>
      <c r="O1243" s="19"/>
      <c r="P1243" s="19"/>
      <c r="R1243" s="19"/>
      <c r="S1243" s="9"/>
    </row>
    <row r="1244" spans="4:19" s="18" customFormat="1" x14ac:dyDescent="0.2">
      <c r="D1244" s="9"/>
      <c r="G1244" s="9"/>
      <c r="J1244" s="9"/>
      <c r="N1244" s="9"/>
      <c r="O1244" s="19"/>
      <c r="P1244" s="19"/>
      <c r="R1244" s="19"/>
      <c r="S1244" s="9"/>
    </row>
    <row r="1245" spans="4:19" s="18" customFormat="1" x14ac:dyDescent="0.2">
      <c r="D1245" s="9"/>
      <c r="G1245" s="9"/>
      <c r="J1245" s="9"/>
      <c r="N1245" s="9"/>
      <c r="O1245" s="19"/>
      <c r="P1245" s="19"/>
      <c r="R1245" s="19"/>
      <c r="S1245" s="9"/>
    </row>
    <row r="1246" spans="4:19" s="18" customFormat="1" x14ac:dyDescent="0.2">
      <c r="D1246" s="9"/>
      <c r="G1246" s="9"/>
      <c r="J1246" s="9"/>
      <c r="N1246" s="9"/>
      <c r="O1246" s="19"/>
      <c r="P1246" s="19"/>
      <c r="R1246" s="19"/>
      <c r="S1246" s="9"/>
    </row>
    <row r="1247" spans="4:19" s="18" customFormat="1" x14ac:dyDescent="0.2">
      <c r="D1247" s="9"/>
      <c r="G1247" s="9"/>
      <c r="J1247" s="9"/>
      <c r="N1247" s="9"/>
      <c r="O1247" s="19"/>
      <c r="P1247" s="19"/>
      <c r="R1247" s="19"/>
      <c r="S1247" s="9"/>
    </row>
    <row r="1248" spans="4:19" s="18" customFormat="1" x14ac:dyDescent="0.2">
      <c r="D1248" s="9"/>
      <c r="G1248" s="9"/>
      <c r="J1248" s="9"/>
      <c r="N1248" s="9"/>
      <c r="O1248" s="19"/>
      <c r="P1248" s="19"/>
      <c r="R1248" s="19"/>
      <c r="S1248" s="9"/>
    </row>
    <row r="1249" spans="4:19" s="18" customFormat="1" x14ac:dyDescent="0.2">
      <c r="D1249" s="9"/>
      <c r="G1249" s="9"/>
      <c r="J1249" s="9"/>
      <c r="N1249" s="9"/>
      <c r="O1249" s="19"/>
      <c r="P1249" s="19"/>
      <c r="R1249" s="19"/>
      <c r="S1249" s="9"/>
    </row>
    <row r="1250" spans="4:19" s="18" customFormat="1" x14ac:dyDescent="0.2">
      <c r="D1250" s="9"/>
      <c r="G1250" s="9"/>
      <c r="J1250" s="9"/>
      <c r="N1250" s="9"/>
      <c r="O1250" s="19"/>
      <c r="P1250" s="19"/>
      <c r="R1250" s="19"/>
      <c r="S1250" s="9"/>
    </row>
    <row r="1251" spans="4:19" s="18" customFormat="1" x14ac:dyDescent="0.2">
      <c r="D1251" s="9"/>
      <c r="G1251" s="9"/>
      <c r="J1251" s="9"/>
      <c r="N1251" s="9"/>
      <c r="O1251" s="19"/>
      <c r="P1251" s="19"/>
      <c r="R1251" s="19"/>
      <c r="S1251" s="9"/>
    </row>
    <row r="1252" spans="4:19" s="18" customFormat="1" x14ac:dyDescent="0.2">
      <c r="D1252" s="9"/>
      <c r="G1252" s="9"/>
      <c r="J1252" s="9"/>
      <c r="N1252" s="9"/>
      <c r="O1252" s="19"/>
      <c r="P1252" s="19"/>
      <c r="R1252" s="19"/>
      <c r="S1252" s="9"/>
    </row>
    <row r="1253" spans="4:19" s="18" customFormat="1" x14ac:dyDescent="0.2">
      <c r="D1253" s="9"/>
      <c r="G1253" s="9"/>
      <c r="J1253" s="9"/>
      <c r="N1253" s="9"/>
      <c r="O1253" s="19"/>
      <c r="P1253" s="19"/>
      <c r="R1253" s="19"/>
      <c r="S1253" s="9"/>
    </row>
    <row r="1254" spans="4:19" s="18" customFormat="1" x14ac:dyDescent="0.2">
      <c r="D1254" s="9"/>
      <c r="G1254" s="9"/>
      <c r="J1254" s="9"/>
      <c r="N1254" s="9"/>
      <c r="O1254" s="19"/>
      <c r="P1254" s="19"/>
      <c r="R1254" s="19"/>
      <c r="S1254" s="9"/>
    </row>
    <row r="1255" spans="4:19" s="18" customFormat="1" x14ac:dyDescent="0.2">
      <c r="D1255" s="9"/>
      <c r="G1255" s="9"/>
      <c r="J1255" s="9"/>
      <c r="N1255" s="9"/>
      <c r="O1255" s="19"/>
      <c r="P1255" s="19"/>
      <c r="R1255" s="19"/>
      <c r="S1255" s="9"/>
    </row>
    <row r="1256" spans="4:19" s="18" customFormat="1" x14ac:dyDescent="0.2">
      <c r="D1256" s="9"/>
      <c r="G1256" s="9"/>
      <c r="J1256" s="9"/>
      <c r="N1256" s="9"/>
      <c r="O1256" s="19"/>
      <c r="P1256" s="19"/>
      <c r="R1256" s="19"/>
      <c r="S1256" s="9"/>
    </row>
    <row r="1257" spans="4:19" s="18" customFormat="1" x14ac:dyDescent="0.2">
      <c r="D1257" s="9"/>
      <c r="G1257" s="9"/>
      <c r="J1257" s="9"/>
      <c r="N1257" s="9"/>
      <c r="O1257" s="19"/>
      <c r="P1257" s="19"/>
      <c r="R1257" s="19"/>
      <c r="S1257" s="9"/>
    </row>
    <row r="1258" spans="4:19" s="18" customFormat="1" x14ac:dyDescent="0.2">
      <c r="D1258" s="9"/>
      <c r="G1258" s="9"/>
      <c r="J1258" s="9"/>
      <c r="N1258" s="9"/>
      <c r="O1258" s="19"/>
      <c r="P1258" s="19"/>
      <c r="R1258" s="19"/>
      <c r="S1258" s="9"/>
    </row>
    <row r="1259" spans="4:19" s="18" customFormat="1" x14ac:dyDescent="0.2">
      <c r="D1259" s="9"/>
      <c r="G1259" s="9"/>
      <c r="J1259" s="9"/>
      <c r="N1259" s="9"/>
      <c r="O1259" s="19"/>
      <c r="P1259" s="19"/>
      <c r="R1259" s="19"/>
      <c r="S1259" s="9"/>
    </row>
    <row r="1260" spans="4:19" s="18" customFormat="1" x14ac:dyDescent="0.2">
      <c r="D1260" s="9"/>
      <c r="G1260" s="9"/>
      <c r="J1260" s="9"/>
      <c r="N1260" s="9"/>
      <c r="O1260" s="19"/>
      <c r="P1260" s="19"/>
      <c r="R1260" s="19"/>
      <c r="S1260" s="9"/>
    </row>
    <row r="1261" spans="4:19" s="18" customFormat="1" x14ac:dyDescent="0.2">
      <c r="D1261" s="9"/>
      <c r="G1261" s="9"/>
      <c r="J1261" s="9"/>
      <c r="N1261" s="9"/>
      <c r="O1261" s="19"/>
      <c r="P1261" s="19"/>
      <c r="R1261" s="19"/>
      <c r="S1261" s="9"/>
    </row>
    <row r="1262" spans="4:19" s="18" customFormat="1" x14ac:dyDescent="0.2">
      <c r="D1262" s="9"/>
      <c r="G1262" s="9"/>
      <c r="J1262" s="9"/>
      <c r="N1262" s="9"/>
      <c r="O1262" s="19"/>
      <c r="P1262" s="19"/>
      <c r="R1262" s="19"/>
      <c r="S1262" s="9"/>
    </row>
    <row r="1263" spans="4:19" s="18" customFormat="1" x14ac:dyDescent="0.2">
      <c r="D1263" s="9"/>
      <c r="G1263" s="9"/>
      <c r="J1263" s="9"/>
      <c r="N1263" s="9"/>
      <c r="O1263" s="19"/>
      <c r="P1263" s="19"/>
      <c r="R1263" s="19"/>
      <c r="S1263" s="9"/>
    </row>
    <row r="1264" spans="4:19" s="18" customFormat="1" x14ac:dyDescent="0.2">
      <c r="D1264" s="9"/>
      <c r="G1264" s="9"/>
      <c r="J1264" s="9"/>
      <c r="N1264" s="9"/>
      <c r="O1264" s="19"/>
      <c r="P1264" s="19"/>
      <c r="R1264" s="19"/>
      <c r="S1264" s="9"/>
    </row>
    <row r="1265" spans="4:19" s="18" customFormat="1" x14ac:dyDescent="0.2">
      <c r="D1265" s="9"/>
      <c r="G1265" s="9"/>
      <c r="J1265" s="9"/>
      <c r="N1265" s="9"/>
      <c r="O1265" s="19"/>
      <c r="P1265" s="19"/>
      <c r="R1265" s="19"/>
      <c r="S1265" s="9"/>
    </row>
    <row r="1266" spans="4:19" s="18" customFormat="1" x14ac:dyDescent="0.2">
      <c r="D1266" s="9"/>
      <c r="G1266" s="9"/>
      <c r="J1266" s="9"/>
      <c r="N1266" s="9"/>
      <c r="O1266" s="19"/>
      <c r="P1266" s="19"/>
      <c r="R1266" s="19"/>
      <c r="S1266" s="9"/>
    </row>
    <row r="1267" spans="4:19" s="18" customFormat="1" x14ac:dyDescent="0.2">
      <c r="D1267" s="9"/>
      <c r="G1267" s="9"/>
      <c r="J1267" s="9"/>
      <c r="N1267" s="9"/>
      <c r="O1267" s="19"/>
      <c r="P1267" s="19"/>
      <c r="R1267" s="19"/>
      <c r="S1267" s="9"/>
    </row>
    <row r="1268" spans="4:19" s="18" customFormat="1" x14ac:dyDescent="0.2">
      <c r="D1268" s="9"/>
      <c r="G1268" s="9"/>
      <c r="J1268" s="9"/>
      <c r="N1268" s="9"/>
      <c r="O1268" s="19"/>
      <c r="P1268" s="19"/>
      <c r="R1268" s="19"/>
      <c r="S1268" s="9"/>
    </row>
    <row r="1269" spans="4:19" s="18" customFormat="1" x14ac:dyDescent="0.2">
      <c r="D1269" s="9"/>
      <c r="G1269" s="9"/>
      <c r="J1269" s="9"/>
      <c r="N1269" s="9"/>
      <c r="O1269" s="19"/>
      <c r="P1269" s="19"/>
      <c r="R1269" s="19"/>
      <c r="S1269" s="9"/>
    </row>
    <row r="1270" spans="4:19" s="18" customFormat="1" x14ac:dyDescent="0.2">
      <c r="D1270" s="9"/>
      <c r="G1270" s="9"/>
      <c r="J1270" s="9"/>
      <c r="N1270" s="9"/>
      <c r="O1270" s="19"/>
      <c r="P1270" s="19"/>
      <c r="R1270" s="19"/>
      <c r="S1270" s="9"/>
    </row>
    <row r="1271" spans="4:19" s="18" customFormat="1" x14ac:dyDescent="0.2">
      <c r="D1271" s="9"/>
      <c r="G1271" s="9"/>
      <c r="J1271" s="9"/>
      <c r="N1271" s="9"/>
      <c r="O1271" s="19"/>
      <c r="P1271" s="19"/>
      <c r="R1271" s="19"/>
      <c r="S1271" s="9"/>
    </row>
    <row r="1272" spans="4:19" s="18" customFormat="1" x14ac:dyDescent="0.2">
      <c r="D1272" s="9"/>
      <c r="G1272" s="9"/>
      <c r="J1272" s="9"/>
      <c r="N1272" s="9"/>
      <c r="O1272" s="19"/>
      <c r="P1272" s="19"/>
      <c r="R1272" s="19"/>
      <c r="S1272" s="9"/>
    </row>
    <row r="1273" spans="4:19" s="18" customFormat="1" x14ac:dyDescent="0.2">
      <c r="D1273" s="9"/>
      <c r="G1273" s="9"/>
      <c r="J1273" s="9"/>
      <c r="N1273" s="9"/>
      <c r="O1273" s="19"/>
      <c r="P1273" s="19"/>
      <c r="R1273" s="19"/>
      <c r="S1273" s="9"/>
    </row>
    <row r="1274" spans="4:19" s="18" customFormat="1" x14ac:dyDescent="0.2">
      <c r="D1274" s="9"/>
      <c r="G1274" s="9"/>
      <c r="J1274" s="9"/>
      <c r="N1274" s="9"/>
      <c r="O1274" s="19"/>
      <c r="P1274" s="19"/>
      <c r="R1274" s="19"/>
      <c r="S1274" s="9"/>
    </row>
    <row r="1275" spans="4:19" s="18" customFormat="1" x14ac:dyDescent="0.2">
      <c r="D1275" s="9"/>
      <c r="G1275" s="9"/>
      <c r="J1275" s="9"/>
      <c r="N1275" s="9"/>
      <c r="O1275" s="19"/>
      <c r="P1275" s="19"/>
      <c r="R1275" s="19"/>
      <c r="S1275" s="9"/>
    </row>
    <row r="1276" spans="4:19" s="18" customFormat="1" x14ac:dyDescent="0.2">
      <c r="D1276" s="9"/>
      <c r="G1276" s="9"/>
      <c r="J1276" s="9"/>
      <c r="N1276" s="9"/>
      <c r="O1276" s="19"/>
      <c r="P1276" s="19"/>
      <c r="R1276" s="19"/>
      <c r="S1276" s="9"/>
    </row>
    <row r="1277" spans="4:19" s="18" customFormat="1" x14ac:dyDescent="0.2">
      <c r="D1277" s="9"/>
      <c r="G1277" s="9"/>
      <c r="J1277" s="9"/>
      <c r="N1277" s="9"/>
      <c r="O1277" s="19"/>
      <c r="P1277" s="19"/>
      <c r="R1277" s="19"/>
      <c r="S1277" s="9"/>
    </row>
    <row r="1278" spans="4:19" s="18" customFormat="1" x14ac:dyDescent="0.2">
      <c r="D1278" s="9"/>
      <c r="G1278" s="9"/>
      <c r="J1278" s="9"/>
      <c r="N1278" s="9"/>
      <c r="O1278" s="19"/>
      <c r="P1278" s="19"/>
      <c r="R1278" s="19"/>
      <c r="S1278" s="9"/>
    </row>
  </sheetData>
  <mergeCells count="1">
    <mergeCell ref="A5:B5"/>
  </mergeCells>
  <phoneticPr fontId="5" type="noConversion"/>
  <printOptions horizontalCentered="1" verticalCentered="1"/>
  <pageMargins left="0.39370078740157483" right="0.39370078740157483" top="0.39370078740157483" bottom="0.39370078740157483" header="0.19685039370078741" footer="0.15748031496062992"/>
  <pageSetup paperSize="8" scale="80" orientation="landscape" r:id="rId1"/>
  <headerFooter alignWithMargins="0"/>
  <colBreaks count="1" manualBreakCount="1">
    <brk id="6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30"/>
  <sheetViews>
    <sheetView zoomScaleNormal="100" workbookViewId="0">
      <selection activeCell="C5" sqref="C5"/>
    </sheetView>
  </sheetViews>
  <sheetFormatPr defaultColWidth="9.140625" defaultRowHeight="12.75" x14ac:dyDescent="0.2"/>
  <cols>
    <col min="1" max="1" width="41.28515625" style="8" customWidth="1"/>
    <col min="2" max="2" width="9" style="8" customWidth="1"/>
    <col min="3" max="11" width="7.42578125" style="8" customWidth="1"/>
    <col min="12" max="14" width="8" style="8" customWidth="1"/>
    <col min="15" max="15" width="16" style="8" customWidth="1"/>
    <col min="16" max="16384" width="9.140625" style="8"/>
  </cols>
  <sheetData>
    <row r="1" spans="1:17" s="59" customFormat="1" ht="15" x14ac:dyDescent="0.25">
      <c r="A1" s="61" t="s">
        <v>243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7" s="59" customFormat="1" ht="15.75" thickBot="1" x14ac:dyDescent="0.3">
      <c r="A2" s="61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7" ht="13.5" thickBot="1" x14ac:dyDescent="0.25">
      <c r="A3" s="192"/>
      <c r="B3" s="193"/>
      <c r="C3" s="1333" t="s">
        <v>23</v>
      </c>
      <c r="D3" s="1332"/>
      <c r="E3" s="1332"/>
      <c r="F3" s="1332"/>
      <c r="G3" s="1332"/>
      <c r="H3" s="1332"/>
      <c r="I3" s="1332"/>
      <c r="J3" s="1332"/>
      <c r="K3" s="1334"/>
      <c r="L3" s="1331" t="s">
        <v>24</v>
      </c>
      <c r="M3" s="1332"/>
      <c r="N3" s="1332"/>
      <c r="O3" s="1332"/>
      <c r="P3" s="893"/>
    </row>
    <row r="4" spans="1:17" ht="86.25" customHeight="1" x14ac:dyDescent="0.2">
      <c r="A4" s="194"/>
      <c r="B4" s="83" t="s">
        <v>141</v>
      </c>
      <c r="C4" s="718" t="s">
        <v>40</v>
      </c>
      <c r="D4" s="820" t="s">
        <v>39</v>
      </c>
      <c r="E4" s="821" t="s">
        <v>48</v>
      </c>
      <c r="F4" s="718" t="s">
        <v>82</v>
      </c>
      <c r="G4" s="718" t="s">
        <v>83</v>
      </c>
      <c r="H4" s="718" t="s">
        <v>106</v>
      </c>
      <c r="I4" s="718" t="s">
        <v>105</v>
      </c>
      <c r="J4" s="718" t="s">
        <v>122</v>
      </c>
      <c r="K4" s="822" t="s">
        <v>125</v>
      </c>
      <c r="L4" s="823" t="s">
        <v>41</v>
      </c>
      <c r="M4" s="718" t="s">
        <v>79</v>
      </c>
      <c r="N4" s="718" t="s">
        <v>84</v>
      </c>
      <c r="O4" s="718" t="s">
        <v>92</v>
      </c>
      <c r="P4" s="893"/>
    </row>
    <row r="5" spans="1:17" ht="15.6" customHeight="1" x14ac:dyDescent="0.2">
      <c r="A5" s="346" t="s">
        <v>26</v>
      </c>
      <c r="B5" s="86" t="s">
        <v>5</v>
      </c>
      <c r="C5" s="719" t="s">
        <v>4</v>
      </c>
      <c r="D5" s="825" t="s">
        <v>1</v>
      </c>
      <c r="E5" s="824" t="s">
        <v>1</v>
      </c>
      <c r="F5" s="825" t="s">
        <v>4</v>
      </c>
      <c r="G5" s="719" t="s">
        <v>1</v>
      </c>
      <c r="H5" s="719" t="s">
        <v>1</v>
      </c>
      <c r="I5" s="719" t="s">
        <v>1</v>
      </c>
      <c r="J5" s="719" t="s">
        <v>2</v>
      </c>
      <c r="K5" s="827" t="s">
        <v>2</v>
      </c>
      <c r="L5" s="826" t="s">
        <v>1</v>
      </c>
      <c r="M5" s="719" t="s">
        <v>1</v>
      </c>
      <c r="N5" s="825" t="s">
        <v>1</v>
      </c>
      <c r="O5" s="719" t="s">
        <v>1</v>
      </c>
      <c r="P5" s="893"/>
    </row>
    <row r="6" spans="1:17" x14ac:dyDescent="0.2">
      <c r="A6" s="299" t="s">
        <v>14</v>
      </c>
      <c r="B6" s="135"/>
      <c r="C6" s="828"/>
      <c r="D6" s="829"/>
      <c r="E6" s="828"/>
      <c r="F6" s="828"/>
      <c r="G6" s="828"/>
      <c r="H6" s="828"/>
      <c r="I6" s="828"/>
      <c r="J6" s="828"/>
      <c r="K6" s="828"/>
      <c r="L6" s="830"/>
      <c r="M6" s="828"/>
      <c r="N6" s="828"/>
      <c r="O6" s="828"/>
      <c r="P6" s="893"/>
    </row>
    <row r="7" spans="1:17" ht="17.25" customHeight="1" x14ac:dyDescent="0.2">
      <c r="A7" s="704" t="s">
        <v>329</v>
      </c>
      <c r="B7" s="305">
        <v>100</v>
      </c>
      <c r="C7" s="307">
        <v>105</v>
      </c>
      <c r="D7" s="200">
        <v>100</v>
      </c>
      <c r="E7" s="306">
        <v>103</v>
      </c>
      <c r="F7" s="307">
        <v>92</v>
      </c>
      <c r="G7" s="307">
        <v>99</v>
      </c>
      <c r="H7" s="307">
        <v>92</v>
      </c>
      <c r="I7" s="307">
        <v>103</v>
      </c>
      <c r="J7" s="307">
        <v>101</v>
      </c>
      <c r="K7" s="521">
        <v>103</v>
      </c>
      <c r="L7" s="511">
        <v>103</v>
      </c>
      <c r="M7" s="118">
        <v>102</v>
      </c>
      <c r="N7" s="118">
        <v>103</v>
      </c>
      <c r="O7" s="268">
        <v>99</v>
      </c>
      <c r="P7" s="473"/>
      <c r="Q7" s="185"/>
    </row>
    <row r="8" spans="1:17" ht="17.25" customHeight="1" x14ac:dyDescent="0.2">
      <c r="A8" s="702" t="s">
        <v>330</v>
      </c>
      <c r="B8" s="161">
        <v>100</v>
      </c>
      <c r="C8" s="308">
        <v>98</v>
      </c>
      <c r="D8" s="110">
        <v>98</v>
      </c>
      <c r="E8" s="109">
        <v>105</v>
      </c>
      <c r="F8" s="308">
        <v>97</v>
      </c>
      <c r="G8" s="308">
        <v>99</v>
      </c>
      <c r="H8" s="308">
        <v>94</v>
      </c>
      <c r="I8" s="308">
        <v>101</v>
      </c>
      <c r="J8" s="308">
        <v>101</v>
      </c>
      <c r="K8" s="871">
        <v>108</v>
      </c>
      <c r="L8" s="512">
        <v>102</v>
      </c>
      <c r="M8" s="111">
        <v>99</v>
      </c>
      <c r="N8" s="308">
        <v>103</v>
      </c>
      <c r="O8" s="308">
        <v>100</v>
      </c>
      <c r="P8" s="473"/>
      <c r="Q8" s="185"/>
    </row>
    <row r="9" spans="1:17" ht="17.25" customHeight="1" x14ac:dyDescent="0.2">
      <c r="A9" s="702" t="s">
        <v>331</v>
      </c>
      <c r="B9" s="310">
        <v>100</v>
      </c>
      <c r="C9" s="308">
        <v>87</v>
      </c>
      <c r="D9" s="110">
        <v>101</v>
      </c>
      <c r="E9" s="109">
        <v>109</v>
      </c>
      <c r="F9" s="308">
        <v>109</v>
      </c>
      <c r="G9" s="308">
        <v>101</v>
      </c>
      <c r="H9" s="308">
        <v>96</v>
      </c>
      <c r="I9" s="308">
        <v>94</v>
      </c>
      <c r="J9" s="308">
        <v>102</v>
      </c>
      <c r="K9" s="871">
        <v>109</v>
      </c>
      <c r="L9" s="512">
        <v>96</v>
      </c>
      <c r="M9" s="111">
        <v>96</v>
      </c>
      <c r="N9" s="308">
        <v>105</v>
      </c>
      <c r="O9" s="308">
        <v>106</v>
      </c>
      <c r="P9" s="473"/>
      <c r="Q9" s="185"/>
    </row>
    <row r="10" spans="1:17" ht="17.25" customHeight="1" x14ac:dyDescent="0.2">
      <c r="A10" s="688" t="s">
        <v>352</v>
      </c>
      <c r="B10" s="310">
        <v>100</v>
      </c>
      <c r="C10" s="308">
        <v>97.035714285714292</v>
      </c>
      <c r="D10" s="308">
        <v>99.586956521739125</v>
      </c>
      <c r="E10" s="308">
        <v>105.39130434782609</v>
      </c>
      <c r="F10" s="308">
        <v>98.543478260869563</v>
      </c>
      <c r="G10" s="308">
        <v>99.565217391304344</v>
      </c>
      <c r="H10" s="308">
        <v>93.741935483870961</v>
      </c>
      <c r="I10" s="308">
        <v>99.967741935483872</v>
      </c>
      <c r="J10" s="308">
        <v>101.3125</v>
      </c>
      <c r="K10" s="308">
        <v>106.18181818181819</v>
      </c>
      <c r="L10" s="848">
        <v>100.51785714285714</v>
      </c>
      <c r="M10" s="308">
        <v>99.260869565217391</v>
      </c>
      <c r="N10" s="308">
        <v>103.56521739130434</v>
      </c>
      <c r="O10" s="308">
        <v>101.16666666666667</v>
      </c>
      <c r="P10" s="473"/>
      <c r="Q10" s="185"/>
    </row>
    <row r="11" spans="1:17" ht="15.75" customHeight="1" x14ac:dyDescent="0.2">
      <c r="A11" s="300" t="s">
        <v>397</v>
      </c>
      <c r="B11" s="219"/>
      <c r="C11" s="55"/>
      <c r="D11" s="54"/>
      <c r="E11" s="55"/>
      <c r="F11" s="55"/>
      <c r="G11" s="55"/>
      <c r="H11" s="55"/>
      <c r="I11" s="55"/>
      <c r="J11" s="55"/>
      <c r="K11" s="55"/>
      <c r="L11" s="513"/>
      <c r="M11" s="55"/>
      <c r="N11" s="55"/>
      <c r="O11" s="55"/>
      <c r="P11" s="473"/>
      <c r="Q11" s="185"/>
    </row>
    <row r="12" spans="1:17" ht="17.25" customHeight="1" x14ac:dyDescent="0.2">
      <c r="A12" s="703" t="s">
        <v>393</v>
      </c>
      <c r="B12" s="1194">
        <v>100</v>
      </c>
      <c r="C12" s="1199">
        <v>112</v>
      </c>
      <c r="D12" s="1200">
        <v>101</v>
      </c>
      <c r="E12" s="1201">
        <v>99</v>
      </c>
      <c r="F12" s="1199">
        <v>85</v>
      </c>
      <c r="G12" s="307">
        <v>100</v>
      </c>
      <c r="H12" s="307">
        <v>95</v>
      </c>
      <c r="I12" s="307">
        <v>105</v>
      </c>
      <c r="J12" s="307">
        <v>110</v>
      </c>
      <c r="K12" s="521">
        <v>95</v>
      </c>
      <c r="L12" s="514">
        <v>105</v>
      </c>
      <c r="M12" s="268">
        <v>102</v>
      </c>
      <c r="N12" s="307">
        <v>103</v>
      </c>
      <c r="O12" s="307">
        <v>98</v>
      </c>
      <c r="P12" s="473"/>
      <c r="Q12" s="185"/>
    </row>
    <row r="13" spans="1:17" ht="17.25" customHeight="1" x14ac:dyDescent="0.2">
      <c r="A13" s="1287" t="s">
        <v>394</v>
      </c>
      <c r="B13" s="1195">
        <v>17.77</v>
      </c>
      <c r="C13" s="1197">
        <v>17.079999999999998</v>
      </c>
      <c r="D13" s="1196">
        <v>17.54</v>
      </c>
      <c r="E13" s="1198">
        <v>16.98</v>
      </c>
      <c r="F13" s="1197">
        <v>17.100000000000001</v>
      </c>
      <c r="G13" s="314">
        <v>18.23</v>
      </c>
      <c r="H13" s="314">
        <v>17.440000000000001</v>
      </c>
      <c r="I13" s="314">
        <v>16.18</v>
      </c>
      <c r="J13" s="314">
        <v>17.86</v>
      </c>
      <c r="K13" s="522">
        <v>17.14</v>
      </c>
      <c r="L13" s="515">
        <v>18.13</v>
      </c>
      <c r="M13" s="316">
        <v>17.940000000000001</v>
      </c>
      <c r="N13" s="314">
        <v>17.760000000000002</v>
      </c>
      <c r="O13" s="314">
        <v>18</v>
      </c>
      <c r="P13" s="473"/>
      <c r="Q13" s="185"/>
    </row>
    <row r="14" spans="1:17" ht="17.25" customHeight="1" x14ac:dyDescent="0.2">
      <c r="A14" s="298" t="s">
        <v>15</v>
      </c>
      <c r="B14" s="317"/>
      <c r="C14" s="261"/>
      <c r="D14" s="34"/>
      <c r="E14" s="261"/>
      <c r="F14" s="261"/>
      <c r="G14" s="261"/>
      <c r="H14" s="318"/>
      <c r="I14" s="318"/>
      <c r="J14" s="318"/>
      <c r="K14" s="318"/>
      <c r="L14" s="516"/>
      <c r="M14" s="261"/>
      <c r="N14" s="261"/>
      <c r="O14" s="318"/>
      <c r="P14" s="473"/>
      <c r="Q14" s="185"/>
    </row>
    <row r="15" spans="1:17" ht="17.25" customHeight="1" x14ac:dyDescent="0.2">
      <c r="A15" s="301" t="s">
        <v>364</v>
      </c>
      <c r="B15" s="319">
        <v>67.8</v>
      </c>
      <c r="C15" s="320">
        <v>65.5</v>
      </c>
      <c r="D15" s="118">
        <v>68.400000000000006</v>
      </c>
      <c r="E15" s="119">
        <v>66</v>
      </c>
      <c r="F15" s="320">
        <v>67.900000000000006</v>
      </c>
      <c r="G15" s="320">
        <v>71.400000000000006</v>
      </c>
      <c r="H15" s="320">
        <v>69.2</v>
      </c>
      <c r="I15" s="320">
        <v>62</v>
      </c>
      <c r="J15" s="320">
        <v>63.4</v>
      </c>
      <c r="K15" s="521">
        <v>64.2</v>
      </c>
      <c r="L15" s="517">
        <v>70.400000000000006</v>
      </c>
      <c r="M15" s="120">
        <v>65.599999999999994</v>
      </c>
      <c r="N15" s="320">
        <v>69.5</v>
      </c>
      <c r="O15" s="320">
        <v>69.2</v>
      </c>
      <c r="P15" s="473"/>
      <c r="Q15" s="185"/>
    </row>
    <row r="16" spans="1:17" ht="17.25" customHeight="1" x14ac:dyDescent="0.2">
      <c r="A16" s="302" t="s">
        <v>285</v>
      </c>
      <c r="B16" s="310">
        <v>55.6</v>
      </c>
      <c r="C16" s="311">
        <v>45.2</v>
      </c>
      <c r="D16" s="202">
        <v>57.3</v>
      </c>
      <c r="E16" s="203">
        <v>55.7</v>
      </c>
      <c r="F16" s="311">
        <v>59.8</v>
      </c>
      <c r="G16" s="311">
        <v>60.3</v>
      </c>
      <c r="H16" s="311">
        <v>58.2</v>
      </c>
      <c r="I16" s="311">
        <v>45.9</v>
      </c>
      <c r="J16" s="311">
        <v>54.5</v>
      </c>
      <c r="K16" s="666">
        <v>58.5</v>
      </c>
      <c r="L16" s="518">
        <v>55.5</v>
      </c>
      <c r="M16" s="206">
        <v>50</v>
      </c>
      <c r="N16" s="311">
        <v>57.4</v>
      </c>
      <c r="O16" s="311">
        <v>56.5</v>
      </c>
      <c r="P16" s="473"/>
      <c r="Q16" s="185"/>
    </row>
    <row r="17" spans="1:17" ht="17.25" customHeight="1" x14ac:dyDescent="0.2">
      <c r="A17" s="302" t="s">
        <v>286</v>
      </c>
      <c r="B17" s="310">
        <v>49.1</v>
      </c>
      <c r="C17" s="311">
        <v>34.9</v>
      </c>
      <c r="D17" s="202">
        <v>51.6</v>
      </c>
      <c r="E17" s="203">
        <v>51.3</v>
      </c>
      <c r="F17" s="311">
        <v>59.9</v>
      </c>
      <c r="G17" s="311">
        <v>54.8</v>
      </c>
      <c r="H17" s="311">
        <v>49.8</v>
      </c>
      <c r="I17" s="311">
        <v>40.799999999999997</v>
      </c>
      <c r="J17" s="311">
        <v>45.5</v>
      </c>
      <c r="K17" s="666">
        <v>50.7</v>
      </c>
      <c r="L17" s="518">
        <v>44.7</v>
      </c>
      <c r="M17" s="206">
        <v>37.799999999999997</v>
      </c>
      <c r="N17" s="311">
        <v>51.4</v>
      </c>
      <c r="O17" s="311">
        <v>52.7</v>
      </c>
      <c r="P17" s="473"/>
      <c r="Q17" s="185"/>
    </row>
    <row r="18" spans="1:17" ht="8.25" customHeight="1" x14ac:dyDescent="0.2">
      <c r="A18" s="265"/>
      <c r="B18" s="219"/>
      <c r="C18" s="55"/>
      <c r="D18" s="54"/>
      <c r="E18" s="55"/>
      <c r="F18" s="55"/>
      <c r="G18" s="55"/>
      <c r="H18" s="55"/>
      <c r="I18" s="55"/>
      <c r="J18" s="55"/>
      <c r="K18" s="55"/>
      <c r="L18" s="513"/>
      <c r="M18" s="55"/>
      <c r="N18" s="55"/>
      <c r="O18" s="55"/>
      <c r="P18" s="473"/>
      <c r="Q18" s="185"/>
    </row>
    <row r="19" spans="1:17" s="25" customFormat="1" ht="17.25" customHeight="1" x14ac:dyDescent="0.2">
      <c r="A19" s="250" t="s">
        <v>9</v>
      </c>
      <c r="B19" s="158" t="s">
        <v>5</v>
      </c>
      <c r="C19" s="251">
        <v>1980</v>
      </c>
      <c r="D19" s="113">
        <v>2003</v>
      </c>
      <c r="E19" s="220">
        <v>2010</v>
      </c>
      <c r="F19" s="252">
        <v>2011</v>
      </c>
      <c r="G19" s="252">
        <v>2012</v>
      </c>
      <c r="H19" s="252">
        <v>2016</v>
      </c>
      <c r="I19" s="252">
        <v>2016</v>
      </c>
      <c r="J19" s="252">
        <v>2018</v>
      </c>
      <c r="K19" s="523">
        <v>2018</v>
      </c>
      <c r="L19" s="519">
        <v>2005</v>
      </c>
      <c r="M19" s="114">
        <v>2010</v>
      </c>
      <c r="N19" s="114">
        <v>2011</v>
      </c>
      <c r="O19" s="115">
        <v>2014</v>
      </c>
      <c r="P19" s="473"/>
    </row>
    <row r="20" spans="1:17" s="25" customFormat="1" ht="17.25" customHeight="1" x14ac:dyDescent="0.2">
      <c r="A20" s="1289" t="s">
        <v>405</v>
      </c>
      <c r="B20" s="213" t="s">
        <v>5</v>
      </c>
      <c r="C20" s="1290" t="s">
        <v>428</v>
      </c>
      <c r="D20" s="1290" t="s">
        <v>428</v>
      </c>
      <c r="E20" s="1290" t="s">
        <v>413</v>
      </c>
      <c r="F20" s="1290" t="s">
        <v>413</v>
      </c>
      <c r="G20" s="1290" t="s">
        <v>437</v>
      </c>
      <c r="H20" s="1290" t="s">
        <v>415</v>
      </c>
      <c r="I20" s="1291" t="s">
        <v>438</v>
      </c>
      <c r="J20" s="1290" t="s">
        <v>415</v>
      </c>
      <c r="K20" s="1290" t="s">
        <v>407</v>
      </c>
      <c r="L20" s="1290" t="s">
        <v>439</v>
      </c>
      <c r="M20" s="1291" t="s">
        <v>440</v>
      </c>
      <c r="N20" s="1290" t="s">
        <v>437</v>
      </c>
      <c r="O20" s="1290" t="s">
        <v>437</v>
      </c>
      <c r="P20" s="473"/>
    </row>
    <row r="21" spans="1:17" s="25" customFormat="1" ht="17.25" customHeight="1" x14ac:dyDescent="0.2">
      <c r="A21" s="1289" t="s">
        <v>406</v>
      </c>
      <c r="B21" s="213" t="s">
        <v>5</v>
      </c>
      <c r="C21" s="1290" t="s">
        <v>419</v>
      </c>
      <c r="D21" s="1291" t="s">
        <v>410</v>
      </c>
      <c r="E21" s="1290" t="s">
        <v>414</v>
      </c>
      <c r="F21" s="1290" t="s">
        <v>414</v>
      </c>
      <c r="G21" s="1290" t="s">
        <v>417</v>
      </c>
      <c r="H21" s="1290" t="s">
        <v>408</v>
      </c>
      <c r="I21" s="1290" t="s">
        <v>410</v>
      </c>
      <c r="J21" s="1290" t="s">
        <v>408</v>
      </c>
      <c r="K21" s="1290" t="s">
        <v>420</v>
      </c>
      <c r="L21" s="1290" t="s">
        <v>408</v>
      </c>
      <c r="M21" s="1290" t="s">
        <v>419</v>
      </c>
      <c r="N21" s="1290" t="s">
        <v>417</v>
      </c>
      <c r="O21" s="1290" t="s">
        <v>408</v>
      </c>
      <c r="P21" s="473"/>
    </row>
    <row r="22" spans="1:17" ht="17.25" customHeight="1" x14ac:dyDescent="0.2">
      <c r="A22" s="222" t="s">
        <v>10</v>
      </c>
      <c r="B22" s="219"/>
      <c r="C22" s="55"/>
      <c r="D22" s="55"/>
      <c r="E22" s="55"/>
      <c r="F22" s="55"/>
      <c r="G22" s="55"/>
      <c r="H22" s="55"/>
      <c r="I22" s="55"/>
      <c r="J22" s="55"/>
      <c r="K22" s="55"/>
      <c r="L22" s="513"/>
      <c r="M22" s="55"/>
      <c r="N22" s="55"/>
      <c r="O22" s="55"/>
      <c r="P22" s="473"/>
      <c r="Q22" s="185"/>
    </row>
    <row r="23" spans="1:17" ht="17.25" customHeight="1" x14ac:dyDescent="0.2">
      <c r="A23" s="266" t="s">
        <v>27</v>
      </c>
      <c r="B23" s="267" t="s">
        <v>5</v>
      </c>
      <c r="C23" s="307">
        <v>19</v>
      </c>
      <c r="D23" s="200">
        <v>17</v>
      </c>
      <c r="E23" s="306">
        <v>17</v>
      </c>
      <c r="F23" s="307">
        <v>17</v>
      </c>
      <c r="G23" s="307">
        <v>17</v>
      </c>
      <c r="H23" s="307">
        <v>12</v>
      </c>
      <c r="I23" s="307">
        <v>12</v>
      </c>
      <c r="J23" s="307">
        <v>6</v>
      </c>
      <c r="K23" s="521">
        <v>9</v>
      </c>
      <c r="L23" s="514">
        <v>19</v>
      </c>
      <c r="M23" s="307">
        <v>17</v>
      </c>
      <c r="N23" s="307">
        <v>17</v>
      </c>
      <c r="O23" s="307">
        <v>17</v>
      </c>
      <c r="P23" s="473"/>
      <c r="Q23" s="321"/>
    </row>
    <row r="24" spans="1:17" ht="17.25" customHeight="1" x14ac:dyDescent="0.2">
      <c r="A24" s="303" t="s">
        <v>28</v>
      </c>
      <c r="B24" s="269" t="s">
        <v>5</v>
      </c>
      <c r="C24" s="323">
        <v>20</v>
      </c>
      <c r="D24" s="271">
        <v>16</v>
      </c>
      <c r="E24" s="322">
        <v>16</v>
      </c>
      <c r="F24" s="323">
        <v>16</v>
      </c>
      <c r="G24" s="323">
        <v>16</v>
      </c>
      <c r="H24" s="323">
        <v>11</v>
      </c>
      <c r="I24" s="323">
        <v>11</v>
      </c>
      <c r="J24" s="323">
        <v>5</v>
      </c>
      <c r="K24" s="524">
        <v>8</v>
      </c>
      <c r="L24" s="520">
        <v>20</v>
      </c>
      <c r="M24" s="323">
        <v>16</v>
      </c>
      <c r="N24" s="323">
        <v>16</v>
      </c>
      <c r="O24" s="323">
        <v>14</v>
      </c>
      <c r="P24" s="473"/>
      <c r="Q24" s="325"/>
    </row>
    <row r="25" spans="1:17" ht="17.25" customHeight="1" thickBot="1" x14ac:dyDescent="0.25">
      <c r="A25" s="493" t="s">
        <v>29</v>
      </c>
      <c r="B25" s="906" t="s">
        <v>5</v>
      </c>
      <c r="C25" s="907">
        <v>17</v>
      </c>
      <c r="D25" s="908">
        <v>13</v>
      </c>
      <c r="E25" s="884">
        <v>13</v>
      </c>
      <c r="F25" s="907">
        <v>13</v>
      </c>
      <c r="G25" s="907">
        <v>13</v>
      </c>
      <c r="H25" s="907">
        <v>8</v>
      </c>
      <c r="I25" s="907">
        <v>8</v>
      </c>
      <c r="J25" s="907">
        <v>5</v>
      </c>
      <c r="K25" s="909">
        <v>5</v>
      </c>
      <c r="L25" s="910">
        <v>17</v>
      </c>
      <c r="M25" s="907">
        <v>13</v>
      </c>
      <c r="N25" s="907">
        <v>13</v>
      </c>
      <c r="O25" s="911">
        <v>11</v>
      </c>
      <c r="P25" s="473"/>
      <c r="Q25" s="325"/>
    </row>
    <row r="26" spans="1:17" x14ac:dyDescent="0.2">
      <c r="A26" s="197"/>
      <c r="B26" s="329"/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329"/>
      <c r="P26" s="185"/>
      <c r="Q26" s="185"/>
    </row>
    <row r="27" spans="1:17" x14ac:dyDescent="0.2">
      <c r="A27" s="12"/>
      <c r="B27" s="453" t="s">
        <v>1</v>
      </c>
      <c r="C27" s="1278" t="s">
        <v>367</v>
      </c>
      <c r="F27" s="705"/>
      <c r="P27" s="185"/>
      <c r="Q27" s="185"/>
    </row>
    <row r="28" spans="1:17" x14ac:dyDescent="0.2">
      <c r="B28" s="453" t="s">
        <v>4</v>
      </c>
      <c r="C28" s="1278" t="s">
        <v>368</v>
      </c>
    </row>
    <row r="29" spans="1:17" x14ac:dyDescent="0.2">
      <c r="B29" s="453" t="s">
        <v>2</v>
      </c>
      <c r="C29" s="1278" t="s">
        <v>369</v>
      </c>
    </row>
    <row r="30" spans="1:17" x14ac:dyDescent="0.2">
      <c r="B30" s="453" t="s">
        <v>3</v>
      </c>
      <c r="C30" s="1278" t="s">
        <v>370</v>
      </c>
    </row>
  </sheetData>
  <mergeCells count="2">
    <mergeCell ref="L3:O3"/>
    <mergeCell ref="C3:K3"/>
  </mergeCells>
  <phoneticPr fontId="5" type="noConversion"/>
  <printOptions horizontalCentered="1"/>
  <pageMargins left="0.39370078740157483" right="0.39370078740157483" top="0.39370078740157483" bottom="0.39370078740157483" header="0.31496062992125984" footer="0.31496062992125984"/>
  <pageSetup paperSize="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N23"/>
  <sheetViews>
    <sheetView zoomScaleNormal="100" workbookViewId="0">
      <selection activeCell="F11" sqref="F11"/>
    </sheetView>
  </sheetViews>
  <sheetFormatPr defaultColWidth="8.85546875" defaultRowHeight="12.75" x14ac:dyDescent="0.2"/>
  <cols>
    <col min="1" max="1" width="39.7109375" style="8" customWidth="1"/>
    <col min="2" max="2" width="9.5703125" style="8" customWidth="1"/>
    <col min="3" max="3" width="16.28515625" style="8" customWidth="1"/>
    <col min="4" max="4" width="17.85546875" style="8" customWidth="1"/>
    <col min="5" max="16384" width="8.85546875" style="8"/>
  </cols>
  <sheetData>
    <row r="1" spans="1:40" s="59" customFormat="1" ht="15" x14ac:dyDescent="0.25">
      <c r="A1" s="61" t="s">
        <v>266</v>
      </c>
      <c r="B1" s="106"/>
      <c r="C1" s="106"/>
      <c r="D1" s="106"/>
    </row>
    <row r="2" spans="1:40" ht="13.5" thickBot="1" x14ac:dyDescent="0.25">
      <c r="A2" s="662"/>
      <c r="B2" s="663"/>
      <c r="C2" s="663"/>
      <c r="D2" s="663"/>
    </row>
    <row r="3" spans="1:40" ht="84.75" customHeight="1" x14ac:dyDescent="0.2">
      <c r="A3" s="664"/>
      <c r="B3" s="50" t="s">
        <v>139</v>
      </c>
      <c r="C3" s="80" t="s">
        <v>47</v>
      </c>
      <c r="D3" s="892" t="s">
        <v>46</v>
      </c>
      <c r="E3" s="893"/>
    </row>
    <row r="4" spans="1:40" s="185" customFormat="1" ht="15.75" customHeight="1" x14ac:dyDescent="0.2">
      <c r="A4" s="368" t="s">
        <v>14</v>
      </c>
      <c r="B4" s="369"/>
      <c r="C4" s="261"/>
      <c r="D4" s="261"/>
      <c r="E4" s="473"/>
    </row>
    <row r="5" spans="1:40" s="185" customFormat="1" ht="15.75" customHeight="1" x14ac:dyDescent="0.2">
      <c r="A5" s="704" t="s">
        <v>332</v>
      </c>
      <c r="B5" s="305">
        <v>100</v>
      </c>
      <c r="C5" s="268">
        <v>102</v>
      </c>
      <c r="D5" s="307">
        <v>98</v>
      </c>
      <c r="E5" s="473"/>
    </row>
    <row r="6" spans="1:40" s="185" customFormat="1" ht="15.75" customHeight="1" x14ac:dyDescent="0.2">
      <c r="A6" s="702" t="s">
        <v>333</v>
      </c>
      <c r="B6" s="161">
        <v>100</v>
      </c>
      <c r="C6" s="111">
        <v>100</v>
      </c>
      <c r="D6" s="308">
        <v>100</v>
      </c>
      <c r="E6" s="473"/>
    </row>
    <row r="7" spans="1:40" s="184" customFormat="1" ht="15.75" customHeight="1" x14ac:dyDescent="0.2">
      <c r="A7" s="688" t="s">
        <v>353</v>
      </c>
      <c r="B7" s="310">
        <v>100</v>
      </c>
      <c r="C7" s="268">
        <v>101</v>
      </c>
      <c r="D7" s="307">
        <v>99</v>
      </c>
      <c r="E7" s="473"/>
      <c r="F7" s="25"/>
      <c r="G7" s="18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</row>
    <row r="8" spans="1:40" s="184" customFormat="1" ht="15.75" customHeight="1" x14ac:dyDescent="0.2">
      <c r="A8" s="299" t="s">
        <v>395</v>
      </c>
      <c r="B8" s="369"/>
      <c r="C8" s="261"/>
      <c r="D8" s="261"/>
      <c r="E8" s="473"/>
      <c r="F8" s="25"/>
      <c r="G8" s="18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</row>
    <row r="9" spans="1:40" s="184" customFormat="1" ht="15.75" customHeight="1" x14ac:dyDescent="0.2">
      <c r="A9" s="847" t="s">
        <v>396</v>
      </c>
      <c r="B9" s="313">
        <v>100</v>
      </c>
      <c r="C9" s="268">
        <v>103</v>
      </c>
      <c r="D9" s="307">
        <v>97</v>
      </c>
      <c r="E9" s="473"/>
      <c r="F9" s="25"/>
      <c r="G9" s="18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</row>
    <row r="10" spans="1:40" s="184" customFormat="1" ht="15.75" customHeight="1" x14ac:dyDescent="0.2">
      <c r="A10" s="1288" t="s">
        <v>394</v>
      </c>
      <c r="B10" s="169">
        <v>18.309999999999999</v>
      </c>
      <c r="C10" s="581">
        <v>18.21</v>
      </c>
      <c r="D10" s="668">
        <v>18.41</v>
      </c>
      <c r="E10" s="473"/>
      <c r="F10" s="25"/>
      <c r="G10" s="18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</row>
    <row r="11" spans="1:40" s="184" customFormat="1" ht="15.75" customHeight="1" x14ac:dyDescent="0.2">
      <c r="A11" s="299" t="s">
        <v>15</v>
      </c>
      <c r="B11" s="369"/>
      <c r="C11" s="261"/>
      <c r="D11" s="261"/>
      <c r="E11" s="473"/>
      <c r="F11" s="25"/>
      <c r="G11" s="18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</row>
    <row r="12" spans="1:40" s="184" customFormat="1" ht="15.75" customHeight="1" x14ac:dyDescent="0.2">
      <c r="A12" s="344" t="s">
        <v>364</v>
      </c>
      <c r="B12" s="305">
        <v>54.7</v>
      </c>
      <c r="C12" s="268">
        <v>56.5</v>
      </c>
      <c r="D12" s="307">
        <v>52.9</v>
      </c>
      <c r="E12" s="473"/>
      <c r="F12" s="25"/>
      <c r="G12" s="18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</row>
    <row r="13" spans="1:40" s="25" customFormat="1" ht="15.75" customHeight="1" x14ac:dyDescent="0.2">
      <c r="A13" s="302" t="s">
        <v>285</v>
      </c>
      <c r="B13" s="310">
        <v>47.3</v>
      </c>
      <c r="C13" s="206">
        <v>49</v>
      </c>
      <c r="D13" s="311">
        <v>45.5</v>
      </c>
      <c r="E13" s="473"/>
      <c r="G13" s="185"/>
    </row>
    <row r="14" spans="1:40" s="25" customFormat="1" ht="8.25" customHeight="1" x14ac:dyDescent="0.2">
      <c r="A14" s="370"/>
      <c r="B14" s="219"/>
      <c r="C14" s="55"/>
      <c r="D14" s="55"/>
      <c r="E14" s="473"/>
      <c r="G14" s="185"/>
    </row>
    <row r="15" spans="1:40" s="185" customFormat="1" ht="15.75" customHeight="1" x14ac:dyDescent="0.2">
      <c r="A15" s="250" t="s">
        <v>9</v>
      </c>
      <c r="B15" s="158" t="s">
        <v>5</v>
      </c>
      <c r="C15" s="261">
        <v>2003</v>
      </c>
      <c r="D15" s="251">
        <v>2003</v>
      </c>
      <c r="E15" s="473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</row>
    <row r="16" spans="1:40" s="185" customFormat="1" ht="15.75" customHeight="1" x14ac:dyDescent="0.2">
      <c r="A16" s="1289" t="s">
        <v>405</v>
      </c>
      <c r="B16" s="213" t="s">
        <v>5</v>
      </c>
      <c r="C16" s="1290" t="s">
        <v>415</v>
      </c>
      <c r="D16" s="1290" t="s">
        <v>441</v>
      </c>
      <c r="E16" s="473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</row>
    <row r="17" spans="1:40" s="185" customFormat="1" ht="15.75" customHeight="1" x14ac:dyDescent="0.2">
      <c r="A17" s="1289" t="s">
        <v>406</v>
      </c>
      <c r="B17" s="213" t="s">
        <v>5</v>
      </c>
      <c r="C17" s="1290" t="s">
        <v>408</v>
      </c>
      <c r="D17" s="1290" t="s">
        <v>419</v>
      </c>
      <c r="E17" s="473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</row>
    <row r="18" spans="1:40" s="185" customFormat="1" ht="15.75" customHeight="1" x14ac:dyDescent="0.2">
      <c r="A18" s="222" t="s">
        <v>10</v>
      </c>
      <c r="B18" s="219"/>
      <c r="C18" s="55"/>
      <c r="D18" s="55"/>
      <c r="E18" s="473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</row>
    <row r="19" spans="1:40" s="185" customFormat="1" ht="15.75" customHeight="1" x14ac:dyDescent="0.2">
      <c r="A19" s="266" t="s">
        <v>27</v>
      </c>
      <c r="B19" s="267" t="s">
        <v>5</v>
      </c>
      <c r="C19" s="268">
        <v>9</v>
      </c>
      <c r="D19" s="307">
        <v>9</v>
      </c>
      <c r="E19" s="473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</row>
    <row r="20" spans="1:40" s="185" customFormat="1" ht="15.75" customHeight="1" x14ac:dyDescent="0.2">
      <c r="A20" s="665" t="s">
        <v>28</v>
      </c>
      <c r="B20" s="269" t="s">
        <v>5</v>
      </c>
      <c r="C20" s="268">
        <v>9</v>
      </c>
      <c r="D20" s="307">
        <v>9</v>
      </c>
      <c r="E20" s="473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</row>
    <row r="21" spans="1:40" s="185" customFormat="1" ht="9.75" customHeight="1" thickBot="1" x14ac:dyDescent="0.25">
      <c r="A21" s="304"/>
      <c r="B21" s="326"/>
      <c r="C21" s="328"/>
      <c r="D21" s="327"/>
      <c r="E21" s="473"/>
    </row>
    <row r="22" spans="1:40" x14ac:dyDescent="0.2">
      <c r="A22" s="197"/>
      <c r="B22" s="13"/>
      <c r="C22" s="13"/>
      <c r="D22" s="13"/>
    </row>
    <row r="23" spans="1:40" x14ac:dyDescent="0.2">
      <c r="A23" s="6"/>
    </row>
  </sheetData>
  <phoneticPr fontId="5" type="noConversion"/>
  <printOptions horizontalCentered="1" verticalCentered="1"/>
  <pageMargins left="0.6692913385826772" right="0.19685039370078741" top="0.43307086614173229" bottom="0.27559055118110237" header="0.19685039370078741" footer="0.1574803149606299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H32"/>
  <sheetViews>
    <sheetView topLeftCell="A20" zoomScale="110" zoomScaleNormal="110" workbookViewId="0">
      <selection activeCell="H28" sqref="H28"/>
    </sheetView>
  </sheetViews>
  <sheetFormatPr defaultColWidth="8.85546875" defaultRowHeight="12.75" x14ac:dyDescent="0.2"/>
  <cols>
    <col min="1" max="1" width="49.5703125" style="8" customWidth="1"/>
    <col min="2" max="2" width="9.140625" style="8" customWidth="1"/>
    <col min="3" max="4" width="8.85546875" style="8"/>
    <col min="5" max="5" width="9" style="96" customWidth="1"/>
    <col min="6" max="34" width="9.140625" style="6" customWidth="1"/>
    <col min="35" max="16384" width="8.85546875" style="8"/>
  </cols>
  <sheetData>
    <row r="1" spans="1:34" s="59" customFormat="1" ht="15" x14ac:dyDescent="0.25">
      <c r="A1" s="61" t="s">
        <v>255</v>
      </c>
      <c r="B1" s="653"/>
      <c r="C1" s="653"/>
      <c r="D1" s="653"/>
      <c r="E1" s="98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</row>
    <row r="2" spans="1:34" ht="13.5" thickBot="1" x14ac:dyDescent="0.25">
      <c r="A2" s="654"/>
      <c r="B2" s="655"/>
      <c r="C2" s="655"/>
      <c r="D2" s="655"/>
      <c r="E2" s="655"/>
    </row>
    <row r="3" spans="1:34" ht="68.25" customHeight="1" x14ac:dyDescent="0.2">
      <c r="A3" s="137"/>
      <c r="B3" s="50" t="s">
        <v>139</v>
      </c>
      <c r="C3" s="5" t="s">
        <v>42</v>
      </c>
      <c r="D3" s="892" t="s">
        <v>43</v>
      </c>
      <c r="E3" s="1010" t="s">
        <v>244</v>
      </c>
      <c r="F3" s="893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4" ht="12.75" customHeight="1" x14ac:dyDescent="0.2">
      <c r="A4" s="143" t="s">
        <v>400</v>
      </c>
      <c r="B4" s="138"/>
      <c r="C4" s="38"/>
      <c r="D4" s="38"/>
      <c r="F4" s="893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4" ht="13.5" customHeight="1" x14ac:dyDescent="0.2">
      <c r="A5" s="682" t="s">
        <v>334</v>
      </c>
      <c r="B5" s="1170">
        <v>100</v>
      </c>
      <c r="C5" s="36">
        <v>98</v>
      </c>
      <c r="D5" s="894">
        <v>102</v>
      </c>
      <c r="E5" s="1180">
        <v>106</v>
      </c>
      <c r="F5" s="893"/>
    </row>
    <row r="6" spans="1:34" s="656" customFormat="1" ht="13.5" customHeight="1" x14ac:dyDescent="0.2">
      <c r="A6" s="678" t="s">
        <v>335</v>
      </c>
      <c r="B6" s="1171">
        <v>100</v>
      </c>
      <c r="C6" s="16">
        <v>99</v>
      </c>
      <c r="D6" s="895">
        <v>101</v>
      </c>
      <c r="E6" s="1181">
        <v>114</v>
      </c>
      <c r="F6" s="903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s="656" customFormat="1" ht="13.5" customHeight="1" x14ac:dyDescent="0.2">
      <c r="A7" s="683" t="s">
        <v>354</v>
      </c>
      <c r="B7" s="1172">
        <v>100</v>
      </c>
      <c r="C7" s="7">
        <v>98.5</v>
      </c>
      <c r="D7" s="896">
        <v>101.5</v>
      </c>
      <c r="E7" s="1182">
        <v>110</v>
      </c>
      <c r="F7" s="893"/>
      <c r="G7" s="6"/>
      <c r="H7" s="6"/>
      <c r="I7" s="84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s="656" customFormat="1" ht="13.5" customHeight="1" x14ac:dyDescent="0.2">
      <c r="A8" s="132" t="s">
        <v>397</v>
      </c>
      <c r="B8" s="1173"/>
      <c r="C8" s="272"/>
      <c r="D8" s="272"/>
      <c r="E8" s="95"/>
      <c r="F8" s="904"/>
      <c r="G8" s="9"/>
      <c r="H8" s="9"/>
      <c r="I8" s="6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6"/>
      <c r="AH8" s="6"/>
    </row>
    <row r="9" spans="1:34" s="657" customFormat="1" ht="13.5" customHeight="1" x14ac:dyDescent="0.2">
      <c r="A9" s="679" t="s">
        <v>336</v>
      </c>
      <c r="B9" s="1174">
        <v>100</v>
      </c>
      <c r="C9" s="33">
        <v>99</v>
      </c>
      <c r="D9" s="897">
        <v>101</v>
      </c>
      <c r="E9" s="1180">
        <v>101</v>
      </c>
      <c r="F9" s="893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13.5" customHeight="1" x14ac:dyDescent="0.2">
      <c r="A10" s="874" t="s">
        <v>223</v>
      </c>
      <c r="B10" s="1175">
        <f>65+1.1</f>
        <v>66.099999999999994</v>
      </c>
      <c r="C10" s="35">
        <f>65+0.8</f>
        <v>65.8</v>
      </c>
      <c r="D10" s="898">
        <f>65+1.5</f>
        <v>66.5</v>
      </c>
      <c r="E10" s="1183">
        <f>65+1.8</f>
        <v>66.8</v>
      </c>
      <c r="F10" s="893"/>
    </row>
    <row r="11" spans="1:34" s="656" customFormat="1" ht="13.5" customHeight="1" x14ac:dyDescent="0.2">
      <c r="A11" s="680" t="s">
        <v>337</v>
      </c>
      <c r="B11" s="1171">
        <v>100</v>
      </c>
      <c r="C11" s="16">
        <v>97</v>
      </c>
      <c r="D11" s="895">
        <v>103</v>
      </c>
      <c r="E11" s="1181">
        <v>105</v>
      </c>
      <c r="F11" s="893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s="656" customFormat="1" ht="13.5" customHeight="1" x14ac:dyDescent="0.2">
      <c r="A12" s="680" t="s">
        <v>224</v>
      </c>
      <c r="B12" s="1175">
        <v>2.09</v>
      </c>
      <c r="C12" s="35">
        <v>2.65</v>
      </c>
      <c r="D12" s="898">
        <v>1.54</v>
      </c>
      <c r="E12" s="1321">
        <v>2.4700000000000002</v>
      </c>
      <c r="F12" s="893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s="656" customFormat="1" ht="13.5" customHeight="1" x14ac:dyDescent="0.2">
      <c r="A13" s="680" t="s">
        <v>338</v>
      </c>
      <c r="B13" s="1171">
        <v>100</v>
      </c>
      <c r="C13" s="16">
        <v>96</v>
      </c>
      <c r="D13" s="895">
        <v>104</v>
      </c>
      <c r="E13" s="1181">
        <v>105</v>
      </c>
      <c r="F13" s="893"/>
      <c r="G13" s="6"/>
      <c r="H13" s="6"/>
      <c r="I13" s="6"/>
      <c r="J13" s="9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s="656" customFormat="1" ht="13.5" customHeight="1" x14ac:dyDescent="0.2">
      <c r="A14" s="681" t="s">
        <v>339</v>
      </c>
      <c r="B14" s="1172">
        <v>100</v>
      </c>
      <c r="C14" s="7">
        <v>98</v>
      </c>
      <c r="D14" s="896">
        <v>102</v>
      </c>
      <c r="E14" s="1182">
        <v>113</v>
      </c>
      <c r="F14" s="893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s="656" customFormat="1" ht="13.5" customHeight="1" x14ac:dyDescent="0.2">
      <c r="A15" s="76" t="s">
        <v>15</v>
      </c>
      <c r="B15" s="1176"/>
      <c r="C15" s="273"/>
      <c r="D15" s="273"/>
      <c r="E15" s="1184"/>
      <c r="F15" s="893"/>
      <c r="G15" s="8"/>
      <c r="H15" s="8"/>
      <c r="I15" s="6"/>
      <c r="J15" s="8"/>
      <c r="K15" s="8"/>
      <c r="L15" s="6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6"/>
      <c r="AH15" s="6"/>
    </row>
    <row r="16" spans="1:34" ht="15.75" hidden="1" customHeight="1" x14ac:dyDescent="0.2">
      <c r="A16" s="142" t="s">
        <v>365</v>
      </c>
      <c r="B16" s="1177">
        <v>66.75</v>
      </c>
      <c r="C16" s="17">
        <v>67.2</v>
      </c>
      <c r="D16" s="899">
        <v>66.290000000000006</v>
      </c>
      <c r="E16" s="96">
        <v>59.64</v>
      </c>
      <c r="F16" s="893"/>
    </row>
    <row r="17" spans="1:34" ht="15.75" customHeight="1" x14ac:dyDescent="0.2">
      <c r="A17" s="87" t="s">
        <v>285</v>
      </c>
      <c r="B17" s="1175">
        <v>6.4950000000000001</v>
      </c>
      <c r="C17" s="17">
        <v>6.54</v>
      </c>
      <c r="D17" s="899">
        <v>6.45</v>
      </c>
      <c r="E17" s="1322">
        <v>5.7921959999999997</v>
      </c>
      <c r="F17" s="893"/>
    </row>
    <row r="18" spans="1:34" s="11" customFormat="1" ht="15.75" customHeight="1" x14ac:dyDescent="0.2">
      <c r="A18" s="136" t="s">
        <v>294</v>
      </c>
      <c r="B18" s="1178">
        <v>5.8</v>
      </c>
      <c r="C18" s="40">
        <v>6.1</v>
      </c>
      <c r="D18" s="900">
        <v>5.4</v>
      </c>
      <c r="E18" s="1185" t="s">
        <v>5</v>
      </c>
      <c r="F18" s="893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9"/>
      <c r="AH18" s="9"/>
    </row>
    <row r="19" spans="1:34" ht="15" customHeight="1" x14ac:dyDescent="0.2">
      <c r="A19" s="47" t="s">
        <v>16</v>
      </c>
      <c r="B19" s="1179"/>
      <c r="C19" s="273"/>
      <c r="D19" s="273"/>
      <c r="F19" s="893"/>
    </row>
    <row r="20" spans="1:34" s="656" customFormat="1" ht="15" customHeight="1" x14ac:dyDescent="0.2">
      <c r="A20" s="142" t="s">
        <v>44</v>
      </c>
      <c r="B20" s="1174">
        <v>7</v>
      </c>
      <c r="C20" s="33">
        <v>7</v>
      </c>
      <c r="D20" s="897">
        <v>7</v>
      </c>
      <c r="E20" s="1186" t="s">
        <v>5</v>
      </c>
      <c r="F20" s="893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s="656" customFormat="1" ht="15" customHeight="1" x14ac:dyDescent="0.2">
      <c r="A21" s="134" t="s">
        <v>45</v>
      </c>
      <c r="B21" s="1171">
        <v>6</v>
      </c>
      <c r="C21" s="16">
        <v>6.0036689101502816</v>
      </c>
      <c r="D21" s="895">
        <v>5.4294594246809069</v>
      </c>
      <c r="E21" s="1181">
        <v>2</v>
      </c>
      <c r="F21" s="893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s="656" customFormat="1" ht="15" customHeight="1" x14ac:dyDescent="0.2">
      <c r="A22" s="141" t="s">
        <v>57</v>
      </c>
      <c r="B22" s="1172">
        <v>4.5</v>
      </c>
      <c r="C22" s="44">
        <v>3</v>
      </c>
      <c r="D22" s="901">
        <v>6</v>
      </c>
      <c r="E22" s="1182" t="s">
        <v>5</v>
      </c>
      <c r="F22" s="893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s="656" customFormat="1" ht="8.25" customHeight="1" x14ac:dyDescent="0.2">
      <c r="A23" s="133"/>
      <c r="B23" s="135"/>
      <c r="C23" s="38"/>
      <c r="D23" s="38"/>
      <c r="E23" s="95"/>
      <c r="F23" s="893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6"/>
      <c r="AH23" s="6"/>
    </row>
    <row r="24" spans="1:34" s="656" customFormat="1" ht="15" customHeight="1" x14ac:dyDescent="0.2">
      <c r="A24" s="139" t="s">
        <v>9</v>
      </c>
      <c r="B24" s="28" t="s">
        <v>5</v>
      </c>
      <c r="C24" s="15">
        <v>1982</v>
      </c>
      <c r="D24" s="902">
        <v>1991</v>
      </c>
      <c r="E24" s="1187">
        <v>2021</v>
      </c>
      <c r="F24" s="893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6"/>
      <c r="AH24" s="6"/>
    </row>
    <row r="25" spans="1:34" s="6" customFormat="1" ht="15" customHeight="1" x14ac:dyDescent="0.2">
      <c r="A25" s="1289" t="s">
        <v>405</v>
      </c>
      <c r="B25" s="213" t="s">
        <v>5</v>
      </c>
      <c r="C25" s="1290" t="s">
        <v>415</v>
      </c>
      <c r="D25" s="1297" t="s">
        <v>432</v>
      </c>
      <c r="E25" s="1295" t="s">
        <v>411</v>
      </c>
      <c r="F25" s="893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4" s="6" customFormat="1" ht="15" customHeight="1" x14ac:dyDescent="0.2">
      <c r="A26" s="1289" t="s">
        <v>406</v>
      </c>
      <c r="B26" s="213" t="s">
        <v>5</v>
      </c>
      <c r="C26" s="1290" t="s">
        <v>408</v>
      </c>
      <c r="D26" s="1290" t="s">
        <v>417</v>
      </c>
      <c r="E26" s="1299" t="s">
        <v>412</v>
      </c>
      <c r="F26" s="893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4" s="658" customFormat="1" ht="15" customHeight="1" x14ac:dyDescent="0.2">
      <c r="A27" s="263" t="s">
        <v>10</v>
      </c>
      <c r="B27" s="264"/>
      <c r="C27" s="274"/>
      <c r="D27" s="274"/>
      <c r="E27" s="1188"/>
      <c r="F27" s="905"/>
      <c r="AG27" s="659"/>
      <c r="AH27" s="659"/>
    </row>
    <row r="28" spans="1:34" ht="15" customHeight="1" x14ac:dyDescent="0.2">
      <c r="A28" s="75" t="s">
        <v>27</v>
      </c>
      <c r="B28" s="39" t="s">
        <v>5</v>
      </c>
      <c r="C28" s="1189">
        <v>5</v>
      </c>
      <c r="D28" s="1189">
        <v>5</v>
      </c>
      <c r="E28" s="1191">
        <v>2</v>
      </c>
      <c r="F28" s="893"/>
    </row>
    <row r="29" spans="1:34" s="656" customFormat="1" ht="15" customHeight="1" thickBot="1" x14ac:dyDescent="0.25">
      <c r="A29" s="660" t="s">
        <v>28</v>
      </c>
      <c r="B29" s="661" t="s">
        <v>5</v>
      </c>
      <c r="C29" s="1190">
        <v>5</v>
      </c>
      <c r="D29" s="1190">
        <v>5</v>
      </c>
      <c r="E29" s="1192">
        <v>2</v>
      </c>
      <c r="F29" s="893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ht="10.5" customHeight="1" x14ac:dyDescent="0.2">
      <c r="A30" s="354"/>
      <c r="B30" s="354"/>
      <c r="C30" s="354"/>
      <c r="D30" s="354"/>
      <c r="E30" s="9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4" x14ac:dyDescent="0.2">
      <c r="B31" s="140"/>
      <c r="C31" s="140"/>
      <c r="D31" s="140"/>
    </row>
    <row r="32" spans="1:34" x14ac:dyDescent="0.2">
      <c r="F32" s="8"/>
      <c r="G32" s="8"/>
    </row>
  </sheetData>
  <phoneticPr fontId="5" type="noConversion"/>
  <printOptions horizontalCentered="1" verticalCentered="1"/>
  <pageMargins left="0.6692913385826772" right="0.19685039370078741" top="0.43307086614173229" bottom="0.27559055118110237" header="0.19685039370078741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BH58"/>
  <sheetViews>
    <sheetView topLeftCell="B1" zoomScale="80" zoomScaleNormal="80" workbookViewId="0">
      <selection activeCell="L37" sqref="L37"/>
    </sheetView>
  </sheetViews>
  <sheetFormatPr defaultColWidth="9.140625" defaultRowHeight="12.75" x14ac:dyDescent="0.2"/>
  <cols>
    <col min="1" max="1" width="46.42578125" style="6" customWidth="1"/>
    <col min="2" max="2" width="8.7109375" style="95" customWidth="1"/>
    <col min="3" max="3" width="9.28515625" style="95" customWidth="1"/>
    <col min="4" max="16" width="8.5703125" style="95" customWidth="1"/>
    <col min="17" max="17" width="4.7109375" style="6" customWidth="1"/>
    <col min="18" max="16384" width="9.140625" style="6"/>
  </cols>
  <sheetData>
    <row r="1" spans="1:35" ht="17.25" customHeight="1" x14ac:dyDescent="0.25">
      <c r="A1" s="41" t="s">
        <v>233</v>
      </c>
      <c r="B1" s="97"/>
      <c r="C1" s="97"/>
      <c r="D1" s="4"/>
      <c r="E1" s="4"/>
      <c r="F1" s="4"/>
      <c r="G1" s="4"/>
      <c r="H1" s="4"/>
      <c r="I1" s="4"/>
      <c r="J1" s="4"/>
      <c r="K1" s="3"/>
      <c r="L1" s="4"/>
      <c r="M1" s="3"/>
      <c r="N1" s="3"/>
      <c r="O1" s="3"/>
      <c r="P1" s="3"/>
    </row>
    <row r="2" spans="1:35" ht="11.25" customHeight="1" thickBot="1" x14ac:dyDescent="0.3">
      <c r="A2" s="42"/>
      <c r="B2" s="97"/>
      <c r="C2" s="97"/>
      <c r="D2" s="4"/>
      <c r="E2" s="4"/>
      <c r="F2" s="4"/>
      <c r="G2" s="4"/>
      <c r="H2" s="4"/>
      <c r="I2" s="4"/>
      <c r="J2" s="4"/>
      <c r="K2" s="3"/>
      <c r="L2" s="4"/>
      <c r="M2" s="3"/>
      <c r="N2" s="3"/>
      <c r="O2" s="3"/>
      <c r="P2" s="3"/>
      <c r="Q2" s="3"/>
    </row>
    <row r="3" spans="1:35" ht="72" customHeight="1" x14ac:dyDescent="0.2">
      <c r="A3" s="48"/>
      <c r="B3" s="50" t="s">
        <v>140</v>
      </c>
      <c r="C3" s="50" t="s">
        <v>288</v>
      </c>
      <c r="D3" s="21" t="s">
        <v>66</v>
      </c>
      <c r="E3" s="21" t="s">
        <v>128</v>
      </c>
      <c r="F3" s="611" t="s">
        <v>113</v>
      </c>
      <c r="G3" s="749" t="s">
        <v>93</v>
      </c>
      <c r="H3" s="749" t="s">
        <v>94</v>
      </c>
      <c r="I3" s="750" t="s">
        <v>87</v>
      </c>
      <c r="J3" s="750" t="s">
        <v>111</v>
      </c>
      <c r="K3" s="751" t="s">
        <v>0</v>
      </c>
      <c r="L3" s="750" t="s">
        <v>95</v>
      </c>
      <c r="M3" s="751" t="s">
        <v>110</v>
      </c>
      <c r="N3" s="751" t="s">
        <v>126</v>
      </c>
      <c r="O3" s="751" t="s">
        <v>98</v>
      </c>
      <c r="P3" s="991" t="s">
        <v>81</v>
      </c>
      <c r="Q3" s="893"/>
    </row>
    <row r="4" spans="1:35" ht="29.25" customHeight="1" x14ac:dyDescent="0.2">
      <c r="A4" s="43" t="s">
        <v>26</v>
      </c>
      <c r="B4" s="52" t="s">
        <v>5</v>
      </c>
      <c r="C4" s="52" t="s">
        <v>5</v>
      </c>
      <c r="D4" s="23" t="s">
        <v>4</v>
      </c>
      <c r="E4" s="23" t="s">
        <v>2</v>
      </c>
      <c r="F4" s="23" t="s">
        <v>3</v>
      </c>
      <c r="G4" s="673" t="s">
        <v>1</v>
      </c>
      <c r="H4" s="673" t="s">
        <v>1</v>
      </c>
      <c r="I4" s="673" t="s">
        <v>4</v>
      </c>
      <c r="J4" s="673" t="s">
        <v>2</v>
      </c>
      <c r="K4" s="673" t="s">
        <v>1</v>
      </c>
      <c r="L4" s="673" t="s">
        <v>1</v>
      </c>
      <c r="M4" s="673" t="s">
        <v>2</v>
      </c>
      <c r="N4" s="673" t="s">
        <v>3</v>
      </c>
      <c r="O4" s="673" t="s">
        <v>2</v>
      </c>
      <c r="P4" s="977" t="s">
        <v>1</v>
      </c>
      <c r="Q4" s="893"/>
    </row>
    <row r="5" spans="1:35" ht="15" customHeight="1" x14ac:dyDescent="0.2">
      <c r="A5" s="49" t="s">
        <v>11</v>
      </c>
      <c r="B5" s="29" t="s">
        <v>5</v>
      </c>
      <c r="C5" s="29" t="s">
        <v>5</v>
      </c>
      <c r="D5" s="24">
        <v>142.24700000000001</v>
      </c>
      <c r="E5" s="24">
        <v>143.85399999999998</v>
      </c>
      <c r="F5" s="24">
        <v>145.21899999999999</v>
      </c>
      <c r="G5" s="24">
        <v>145.53800000000001</v>
      </c>
      <c r="H5" s="24">
        <v>145.58699999999999</v>
      </c>
      <c r="I5" s="24">
        <v>146.88900000000001</v>
      </c>
      <c r="J5" s="24">
        <v>148.09199999999998</v>
      </c>
      <c r="K5" s="24">
        <v>149.49799999999999</v>
      </c>
      <c r="L5" s="24">
        <v>149.61199999999999</v>
      </c>
      <c r="M5" s="24">
        <v>150.386</v>
      </c>
      <c r="N5" s="24">
        <v>151.35500000000002</v>
      </c>
      <c r="O5" s="24">
        <v>151.70600000000002</v>
      </c>
      <c r="P5" s="26">
        <v>151.756</v>
      </c>
      <c r="Q5" s="893"/>
    </row>
    <row r="6" spans="1:35" s="25" customFormat="1" ht="17.25" customHeight="1" x14ac:dyDescent="0.2">
      <c r="A6" s="860" t="s">
        <v>13</v>
      </c>
      <c r="B6" s="861"/>
      <c r="C6" s="861"/>
      <c r="D6" s="863"/>
      <c r="E6" s="863"/>
      <c r="F6" s="863"/>
      <c r="G6" s="863"/>
      <c r="H6" s="863"/>
      <c r="I6" s="863"/>
      <c r="J6" s="863"/>
      <c r="K6" s="863"/>
      <c r="L6" s="863"/>
      <c r="M6" s="863"/>
      <c r="N6" s="863"/>
      <c r="O6" s="863"/>
      <c r="P6" s="863"/>
      <c r="Q6" s="473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525"/>
      <c r="AG6" s="331"/>
      <c r="AH6" s="415"/>
      <c r="AI6" s="331"/>
    </row>
    <row r="7" spans="1:35" s="25" customFormat="1" ht="17.25" customHeight="1" x14ac:dyDescent="0.2">
      <c r="A7" s="685" t="s">
        <v>278</v>
      </c>
      <c r="B7" s="1100">
        <v>100</v>
      </c>
      <c r="C7" s="1101">
        <v>100.5718513775075</v>
      </c>
      <c r="D7" s="1063">
        <v>98.004386091073329</v>
      </c>
      <c r="E7" s="1063">
        <v>105.16353514118288</v>
      </c>
      <c r="F7" s="1063">
        <v>97.631171871031569</v>
      </c>
      <c r="G7" s="1063">
        <v>100.86360051878403</v>
      </c>
      <c r="H7" s="1063">
        <v>99.283272327403495</v>
      </c>
      <c r="I7" s="1063">
        <v>98.447348370234579</v>
      </c>
      <c r="J7" s="1063">
        <v>103.47810286812148</v>
      </c>
      <c r="K7" s="1063">
        <v>101.4879112961266</v>
      </c>
      <c r="L7" s="1063">
        <v>98.639246246124699</v>
      </c>
      <c r="M7" s="1063">
        <v>98.734765711461904</v>
      </c>
      <c r="N7" s="1063">
        <v>100.4103616752365</v>
      </c>
      <c r="O7" s="1063">
        <v>97.179681261684479</v>
      </c>
      <c r="P7" s="1063">
        <v>102.58522649909878</v>
      </c>
      <c r="Q7" s="473"/>
    </row>
    <row r="8" spans="1:35" s="25" customFormat="1" ht="17.25" customHeight="1" x14ac:dyDescent="0.2">
      <c r="A8" s="758" t="s">
        <v>227</v>
      </c>
      <c r="B8" s="1102">
        <f>65+12.0302135418471</f>
        <v>77.030213541847104</v>
      </c>
      <c r="C8" s="1103">
        <f>65+12.5311339315217</f>
        <v>77.531133931521694</v>
      </c>
      <c r="D8" s="1066">
        <f>65+10.3026955825016</f>
        <v>75.302695582501599</v>
      </c>
      <c r="E8" s="1066">
        <f>65+12.8809607245218</f>
        <v>77.880960724521799</v>
      </c>
      <c r="F8" s="1066">
        <f>65+12.3941506737593</f>
        <v>77.394150673759299</v>
      </c>
      <c r="G8" s="1066">
        <f>65+12.5886421415403</f>
        <v>77.588642141540305</v>
      </c>
      <c r="H8" s="1066">
        <f>65+11.3533221897651</f>
        <v>76.353322189765095</v>
      </c>
      <c r="I8" s="1066">
        <f>65+10.4394235804808</f>
        <v>75.439423580480806</v>
      </c>
      <c r="J8" s="1066">
        <f>65+13.2397558798775</f>
        <v>78.239755879877492</v>
      </c>
      <c r="K8" s="1066">
        <f>65+12.7660477564403</f>
        <v>77.766047756440301</v>
      </c>
      <c r="L8" s="1066">
        <f>65+13.2834692348501</f>
        <v>78.283469234850102</v>
      </c>
      <c r="M8" s="1066">
        <f>65+12.4714650230989</f>
        <v>77.471465023098901</v>
      </c>
      <c r="N8" s="1066">
        <f>65+11.6333395184086</f>
        <v>76.633339518408604</v>
      </c>
      <c r="O8" s="1066">
        <f>65+11.8424494685338</f>
        <v>76.8424494685338</v>
      </c>
      <c r="P8" s="1066">
        <f>65+12.6641883350125</f>
        <v>77.664188335012497</v>
      </c>
      <c r="Q8" s="473"/>
    </row>
    <row r="9" spans="1:35" s="25" customFormat="1" ht="17.25" customHeight="1" x14ac:dyDescent="0.2">
      <c r="A9" s="688" t="s">
        <v>289</v>
      </c>
      <c r="B9" s="761">
        <v>100</v>
      </c>
      <c r="C9" s="471">
        <v>100.90491285204193</v>
      </c>
      <c r="D9" s="764">
        <v>95.678442514251273</v>
      </c>
      <c r="E9" s="764">
        <v>105.85874783567999</v>
      </c>
      <c r="F9" s="764">
        <v>99.614247116028338</v>
      </c>
      <c r="G9" s="764">
        <v>101.2677845924639</v>
      </c>
      <c r="H9" s="764">
        <v>98.780702256659126</v>
      </c>
      <c r="I9" s="764">
        <v>97.381927466035663</v>
      </c>
      <c r="J9" s="764">
        <v>104.83782638850838</v>
      </c>
      <c r="K9" s="764">
        <v>102.25413681495331</v>
      </c>
      <c r="L9" s="764">
        <v>99.910337362625114</v>
      </c>
      <c r="M9" s="764">
        <v>99.004194101482511</v>
      </c>
      <c r="N9" s="764">
        <v>99.644096243908564</v>
      </c>
      <c r="O9" s="764">
        <v>96.656120648259432</v>
      </c>
      <c r="P9" s="764">
        <v>102.31160323350821</v>
      </c>
      <c r="Q9" s="473"/>
    </row>
    <row r="10" spans="1:35" s="25" customFormat="1" ht="16.5" customHeight="1" x14ac:dyDescent="0.2">
      <c r="A10" s="427" t="s">
        <v>14</v>
      </c>
      <c r="B10" s="209"/>
      <c r="C10" s="428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73"/>
    </row>
    <row r="11" spans="1:35" s="25" customFormat="1" ht="17.25" customHeight="1" x14ac:dyDescent="0.2">
      <c r="A11" s="686" t="s">
        <v>270</v>
      </c>
      <c r="B11" s="1104">
        <v>100</v>
      </c>
      <c r="C11" s="1105">
        <v>100.00350837840351</v>
      </c>
      <c r="D11" s="1071">
        <v>102.31855011419067</v>
      </c>
      <c r="E11" s="1071">
        <v>102.93687581812854</v>
      </c>
      <c r="F11" s="1071">
        <v>97.537851725281257</v>
      </c>
      <c r="G11" s="1071">
        <v>101.16053281330659</v>
      </c>
      <c r="H11" s="1071">
        <v>100.30336988055844</v>
      </c>
      <c r="I11" s="1071">
        <v>98.1818516080465</v>
      </c>
      <c r="J11" s="1071">
        <v>99.914952374360723</v>
      </c>
      <c r="K11" s="1071">
        <v>99.023654639520245</v>
      </c>
      <c r="L11" s="1071">
        <v>99.850256679210119</v>
      </c>
      <c r="M11" s="1071">
        <v>97.854610286508489</v>
      </c>
      <c r="N11" s="1071">
        <v>98.362687159632486</v>
      </c>
      <c r="O11" s="1071">
        <v>95.706079595142654</v>
      </c>
      <c r="P11" s="1071">
        <v>99.669387275709838</v>
      </c>
      <c r="Q11" s="473"/>
    </row>
    <row r="12" spans="1:35" s="25" customFormat="1" ht="27" customHeight="1" x14ac:dyDescent="0.2">
      <c r="A12" s="734" t="s">
        <v>281</v>
      </c>
      <c r="B12" s="772">
        <v>100</v>
      </c>
      <c r="C12" s="762">
        <v>97.522769268339843</v>
      </c>
      <c r="D12" s="764">
        <v>99.535739375337755</v>
      </c>
      <c r="E12" s="764">
        <v>98.509988289578246</v>
      </c>
      <c r="F12" s="764">
        <v>92.341432221209175</v>
      </c>
      <c r="G12" s="764">
        <v>98.459322524102348</v>
      </c>
      <c r="H12" s="764">
        <v>94.457128931073385</v>
      </c>
      <c r="I12" s="764">
        <v>94.801844530964871</v>
      </c>
      <c r="J12" s="764">
        <v>98.876109680289801</v>
      </c>
      <c r="K12" s="764">
        <v>97.505144109431541</v>
      </c>
      <c r="L12" s="764">
        <v>97.730320911107967</v>
      </c>
      <c r="M12" s="764">
        <v>96.746283043015268</v>
      </c>
      <c r="N12" s="764">
        <v>94.412116499652342</v>
      </c>
      <c r="O12" s="764">
        <v>94.605090754740587</v>
      </c>
      <c r="P12" s="764">
        <v>99.441190339462921</v>
      </c>
      <c r="Q12" s="473"/>
    </row>
    <row r="13" spans="1:35" s="25" customFormat="1" ht="17.25" customHeight="1" x14ac:dyDescent="0.2">
      <c r="A13" s="686" t="s">
        <v>271</v>
      </c>
      <c r="B13" s="1104">
        <v>100</v>
      </c>
      <c r="C13" s="1105">
        <v>99.687678087799711</v>
      </c>
      <c r="D13" s="1071">
        <v>102.85202799515001</v>
      </c>
      <c r="E13" s="1071">
        <v>104.3979081207483</v>
      </c>
      <c r="F13" s="1071">
        <v>100.91271635648923</v>
      </c>
      <c r="G13" s="1071">
        <v>98.618946979897729</v>
      </c>
      <c r="H13" s="1071">
        <v>101.97754272024814</v>
      </c>
      <c r="I13" s="1071">
        <v>94.526422643249603</v>
      </c>
      <c r="J13" s="1071">
        <v>101.81472421495302</v>
      </c>
      <c r="K13" s="1071">
        <v>98.537828417760267</v>
      </c>
      <c r="L13" s="1071">
        <v>98.726684377991347</v>
      </c>
      <c r="M13" s="1071">
        <v>99.375320131298039</v>
      </c>
      <c r="N13" s="1071">
        <v>96.600695706191814</v>
      </c>
      <c r="O13" s="1071">
        <v>95.243012735321869</v>
      </c>
      <c r="P13" s="1071">
        <v>100.54765347097808</v>
      </c>
      <c r="Q13" s="473"/>
    </row>
    <row r="14" spans="1:35" s="25" customFormat="1" ht="17.25" customHeight="1" x14ac:dyDescent="0.2">
      <c r="A14" s="736" t="s">
        <v>284</v>
      </c>
      <c r="B14" s="1106">
        <v>100</v>
      </c>
      <c r="C14" s="1107">
        <v>99.817315391614812</v>
      </c>
      <c r="D14" s="1074">
        <v>102.55670988247608</v>
      </c>
      <c r="E14" s="1074">
        <v>103.36659120125199</v>
      </c>
      <c r="F14" s="1074">
        <v>98.823514441931906</v>
      </c>
      <c r="G14" s="1074">
        <v>99.737244746597625</v>
      </c>
      <c r="H14" s="1074">
        <v>101.24090667078468</v>
      </c>
      <c r="I14" s="1074">
        <v>96.520292987684286</v>
      </c>
      <c r="J14" s="1074">
        <v>100.82684285784504</v>
      </c>
      <c r="K14" s="1074">
        <v>98.815443401623114</v>
      </c>
      <c r="L14" s="1074">
        <v>99.221056190527591</v>
      </c>
      <c r="M14" s="1074">
        <v>98.584551012007466</v>
      </c>
      <c r="N14" s="1074">
        <v>97.561781953523081</v>
      </c>
      <c r="O14" s="1074">
        <v>95.465284828035834</v>
      </c>
      <c r="P14" s="1074">
        <v>100.07192594854111</v>
      </c>
      <c r="Q14" s="473"/>
    </row>
    <row r="15" spans="1:35" s="25" customFormat="1" ht="17.25" customHeight="1" x14ac:dyDescent="0.2">
      <c r="A15" s="455" t="s">
        <v>15</v>
      </c>
      <c r="B15" s="1108"/>
      <c r="C15" s="1109"/>
      <c r="D15" s="429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73"/>
    </row>
    <row r="16" spans="1:35" s="25" customFormat="1" ht="17.25" customHeight="1" x14ac:dyDescent="0.2">
      <c r="A16" s="302" t="s">
        <v>285</v>
      </c>
      <c r="B16" s="1106">
        <v>65.91005350585236</v>
      </c>
      <c r="C16" s="1110">
        <v>67.411286276432918</v>
      </c>
      <c r="D16" s="1074">
        <v>66.695788900284953</v>
      </c>
      <c r="E16" s="1074">
        <v>63.329413702313779</v>
      </c>
      <c r="F16" s="1074">
        <v>68.28450631951246</v>
      </c>
      <c r="G16" s="1074">
        <v>66.024954547871985</v>
      </c>
      <c r="H16" s="1074">
        <v>64.385121243782876</v>
      </c>
      <c r="I16" s="1074">
        <v>65.865890083491777</v>
      </c>
      <c r="J16" s="1074">
        <v>73.424500651040461</v>
      </c>
      <c r="K16" s="1074">
        <v>66.232428533867278</v>
      </c>
      <c r="L16" s="1074">
        <v>71.275204185519783</v>
      </c>
      <c r="M16" s="1074">
        <v>67.439192881320835</v>
      </c>
      <c r="N16" s="1074">
        <v>64.91938333319105</v>
      </c>
      <c r="O16" s="1074">
        <v>70.509982123668991</v>
      </c>
      <c r="P16" s="1074">
        <v>69.138722871122681</v>
      </c>
      <c r="Q16" s="473"/>
    </row>
    <row r="17" spans="1:60" s="185" customFormat="1" ht="17.25" customHeight="1" x14ac:dyDescent="0.2">
      <c r="A17" s="302" t="s">
        <v>286</v>
      </c>
      <c r="B17" s="1104">
        <v>63.401387231506412</v>
      </c>
      <c r="C17" s="1105">
        <v>65.868983344341189</v>
      </c>
      <c r="D17" s="1079">
        <v>63.96967369541742</v>
      </c>
      <c r="E17" s="1079">
        <v>64.640857908632469</v>
      </c>
      <c r="F17" s="1079">
        <v>65.453158740969215</v>
      </c>
      <c r="G17" s="1079">
        <v>65.626556502365219</v>
      </c>
      <c r="H17" s="1079">
        <v>60.642756904888586</v>
      </c>
      <c r="I17" s="1079">
        <v>65.879093083457803</v>
      </c>
      <c r="J17" s="1079">
        <v>69.329954052835348</v>
      </c>
      <c r="K17" s="1079">
        <v>66.079610431672648</v>
      </c>
      <c r="L17" s="1079">
        <v>67.951112344417083</v>
      </c>
      <c r="M17" s="1071">
        <v>64.073537386168681</v>
      </c>
      <c r="N17" s="1079">
        <v>65.338768083644482</v>
      </c>
      <c r="O17" s="1079">
        <v>67.230254259770334</v>
      </c>
      <c r="P17" s="1079">
        <v>69.043964917485042</v>
      </c>
      <c r="Q17" s="473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</row>
    <row r="18" spans="1:60" s="190" customFormat="1" ht="17.25" customHeight="1" x14ac:dyDescent="0.2">
      <c r="A18" s="736" t="s">
        <v>290</v>
      </c>
      <c r="B18" s="1111">
        <v>6.2722341348322281</v>
      </c>
      <c r="C18" s="1112">
        <v>6.5662932823212001</v>
      </c>
      <c r="D18" s="1113">
        <v>6.3885064225236388</v>
      </c>
      <c r="E18" s="1113">
        <v>6.1357580348204213</v>
      </c>
      <c r="F18" s="1113">
        <v>6.6539789460107031</v>
      </c>
      <c r="G18" s="1113">
        <v>6.4467118248604098</v>
      </c>
      <c r="H18" s="1113">
        <v>5.9151653065864416</v>
      </c>
      <c r="I18" s="1113">
        <v>6.456251381468407</v>
      </c>
      <c r="J18" s="1113">
        <v>7.3194337748628584</v>
      </c>
      <c r="K18" s="1113">
        <v>6.5011782099420063</v>
      </c>
      <c r="L18" s="1113">
        <v>7.0144801754203012</v>
      </c>
      <c r="M18" s="1113">
        <v>6.4487582886435852</v>
      </c>
      <c r="N18" s="1113">
        <v>6.3384969722257711</v>
      </c>
      <c r="O18" s="1113">
        <v>6.9194332606206856</v>
      </c>
      <c r="P18" s="1113">
        <v>6.9539308947968372</v>
      </c>
      <c r="Q18" s="473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</row>
    <row r="19" spans="1:60" s="185" customFormat="1" ht="17.25" customHeight="1" x14ac:dyDescent="0.2">
      <c r="A19" s="437" t="s">
        <v>12</v>
      </c>
      <c r="B19" s="1114"/>
      <c r="C19" s="1115"/>
      <c r="D19" s="1085"/>
      <c r="E19" s="1085"/>
      <c r="F19" s="1085"/>
      <c r="G19" s="1085"/>
      <c r="H19" s="1085"/>
      <c r="I19" s="1085"/>
      <c r="J19" s="1085"/>
      <c r="K19" s="1085"/>
      <c r="L19" s="1085"/>
      <c r="M19" s="1085"/>
      <c r="N19" s="1085"/>
      <c r="O19" s="1085"/>
      <c r="P19" s="1116"/>
      <c r="Q19" s="473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</row>
    <row r="20" spans="1:60" s="25" customFormat="1" ht="17.25" customHeight="1" x14ac:dyDescent="0.2">
      <c r="A20" s="685" t="s">
        <v>272</v>
      </c>
      <c r="B20" s="1100">
        <v>100</v>
      </c>
      <c r="C20" s="1117">
        <v>104.42750343361593</v>
      </c>
      <c r="D20" s="1118">
        <v>102.290735782654</v>
      </c>
      <c r="E20" s="1118">
        <v>113.10689989073779</v>
      </c>
      <c r="F20" s="1118">
        <v>103.91685387099776</v>
      </c>
      <c r="G20" s="1118">
        <v>102.93369436906518</v>
      </c>
      <c r="H20" s="1118">
        <v>119.23608234841663</v>
      </c>
      <c r="I20" s="1118">
        <v>94.956941801528956</v>
      </c>
      <c r="J20" s="1118">
        <v>107.09509130467237</v>
      </c>
      <c r="K20" s="1118">
        <v>98.089928016265262</v>
      </c>
      <c r="L20" s="1118">
        <v>101.92463433356978</v>
      </c>
      <c r="M20" s="1118">
        <v>105.93392050071154</v>
      </c>
      <c r="N20" s="1118">
        <v>104.16805796212259</v>
      </c>
      <c r="O20" s="1118">
        <v>93.724373637074592</v>
      </c>
      <c r="P20" s="1118">
        <v>99.953178100762756</v>
      </c>
      <c r="Q20" s="473"/>
    </row>
    <row r="21" spans="1:60" s="185" customFormat="1" ht="17.25" customHeight="1" x14ac:dyDescent="0.2">
      <c r="A21" s="686" t="s">
        <v>273</v>
      </c>
      <c r="B21" s="1104">
        <v>100</v>
      </c>
      <c r="C21" s="1105">
        <v>102.77642041164225</v>
      </c>
      <c r="D21" s="1071">
        <v>102.26083349234905</v>
      </c>
      <c r="E21" s="1071">
        <v>110.77827331628124</v>
      </c>
      <c r="F21" s="1071">
        <v>104.0979322126357</v>
      </c>
      <c r="G21" s="1071">
        <v>102.74614692405555</v>
      </c>
      <c r="H21" s="1071">
        <v>108.76389505284087</v>
      </c>
      <c r="I21" s="1071">
        <v>95.349402227812391</v>
      </c>
      <c r="J21" s="1071">
        <v>107.00300187967412</v>
      </c>
      <c r="K21" s="1071">
        <v>100.98705041959023</v>
      </c>
      <c r="L21" s="1071">
        <v>101.40303426757767</v>
      </c>
      <c r="M21" s="1071">
        <v>102.71812158636459</v>
      </c>
      <c r="N21" s="1071">
        <v>103.2795993680172</v>
      </c>
      <c r="O21" s="1071">
        <v>94.819084642152035</v>
      </c>
      <c r="P21" s="1071">
        <v>99.981975394146886</v>
      </c>
      <c r="Q21" s="473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</row>
    <row r="22" spans="1:60" s="185" customFormat="1" ht="17.25" customHeight="1" x14ac:dyDescent="0.2">
      <c r="A22" s="686" t="s">
        <v>291</v>
      </c>
      <c r="B22" s="1104">
        <v>100</v>
      </c>
      <c r="C22" s="1105">
        <v>97.419846824627143</v>
      </c>
      <c r="D22" s="1071">
        <v>96.814129739541457</v>
      </c>
      <c r="E22" s="1071">
        <v>99.347137729341</v>
      </c>
      <c r="F22" s="1071">
        <v>93.892425117819968</v>
      </c>
      <c r="G22" s="1071">
        <v>97.886034765829663</v>
      </c>
      <c r="H22" s="1071">
        <v>93.734272407102381</v>
      </c>
      <c r="I22" s="1071">
        <v>97.970030142848984</v>
      </c>
      <c r="J22" s="1071">
        <v>101.68567918395364</v>
      </c>
      <c r="K22" s="1071">
        <v>98.43836718633176</v>
      </c>
      <c r="L22" s="1071">
        <v>95.943402788493401</v>
      </c>
      <c r="M22" s="1071">
        <v>96.901657933843182</v>
      </c>
      <c r="N22" s="1071">
        <v>99.903849631167134</v>
      </c>
      <c r="O22" s="1071">
        <v>98.304687757138467</v>
      </c>
      <c r="P22" s="1071">
        <v>101.09715697537851</v>
      </c>
      <c r="Q22" s="473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</row>
    <row r="23" spans="1:60" s="185" customFormat="1" ht="17.25" customHeight="1" x14ac:dyDescent="0.2">
      <c r="A23" s="686" t="s">
        <v>292</v>
      </c>
      <c r="B23" s="1104">
        <v>100</v>
      </c>
      <c r="C23" s="1105">
        <v>101.11046111131877</v>
      </c>
      <c r="D23" s="1071">
        <v>96.135419417384398</v>
      </c>
      <c r="E23" s="1071">
        <v>107.3177384709668</v>
      </c>
      <c r="F23" s="1071">
        <v>94.950584770795103</v>
      </c>
      <c r="G23" s="1071">
        <v>101.89516651138405</v>
      </c>
      <c r="H23" s="1071">
        <v>97.168562553738923</v>
      </c>
      <c r="I23" s="1071">
        <v>100.93372988120468</v>
      </c>
      <c r="J23" s="1071">
        <v>101.66275735812221</v>
      </c>
      <c r="K23" s="1071">
        <v>103.53585307549177</v>
      </c>
      <c r="L23" s="1071">
        <v>98.998851080366009</v>
      </c>
      <c r="M23" s="1071">
        <v>95.943297795487425</v>
      </c>
      <c r="N23" s="1071">
        <v>97.860089351653258</v>
      </c>
      <c r="O23" s="1071">
        <v>97.332607855292125</v>
      </c>
      <c r="P23" s="1071">
        <v>103.95387233561308</v>
      </c>
      <c r="Q23" s="473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</row>
    <row r="24" spans="1:60" s="185" customFormat="1" ht="17.25" customHeight="1" x14ac:dyDescent="0.2">
      <c r="A24" s="686" t="s">
        <v>274</v>
      </c>
      <c r="B24" s="1106">
        <v>100</v>
      </c>
      <c r="C24" s="1110">
        <v>103.7706398142186</v>
      </c>
      <c r="D24" s="1074">
        <v>97.515830272536917</v>
      </c>
      <c r="E24" s="1074">
        <v>106.73993810157627</v>
      </c>
      <c r="F24" s="1074">
        <v>101.62104255626801</v>
      </c>
      <c r="G24" s="1074">
        <v>103.16734305809479</v>
      </c>
      <c r="H24" s="1074">
        <v>101.63568147607313</v>
      </c>
      <c r="I24" s="1074">
        <v>99.902018515561167</v>
      </c>
      <c r="J24" s="1074">
        <v>105.9133256874226</v>
      </c>
      <c r="K24" s="1074">
        <v>106.27621394132176</v>
      </c>
      <c r="L24" s="1074">
        <v>100.19905014803217</v>
      </c>
      <c r="M24" s="1074">
        <v>102.09535198862552</v>
      </c>
      <c r="N24" s="1074">
        <v>101.49039326390722</v>
      </c>
      <c r="O24" s="1074">
        <v>97.681269725127109</v>
      </c>
      <c r="P24" s="1074">
        <v>107.57491044757114</v>
      </c>
      <c r="Q24" s="473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</row>
    <row r="25" spans="1:60" s="185" customFormat="1" ht="17.25" customHeight="1" x14ac:dyDescent="0.2">
      <c r="A25" s="449" t="s">
        <v>25</v>
      </c>
      <c r="B25" s="1119"/>
      <c r="C25" s="1120"/>
      <c r="D25" s="1086"/>
      <c r="E25" s="1086"/>
      <c r="F25" s="1086"/>
      <c r="G25" s="1086"/>
      <c r="H25" s="1086"/>
      <c r="I25" s="1086"/>
      <c r="J25" s="1086"/>
      <c r="K25" s="1086"/>
      <c r="L25" s="1086"/>
      <c r="M25" s="1086"/>
      <c r="N25" s="1086"/>
      <c r="O25" s="1086"/>
      <c r="P25" s="1121"/>
      <c r="Q25" s="473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</row>
    <row r="26" spans="1:60" s="185" customFormat="1" ht="17.25" customHeight="1" x14ac:dyDescent="0.2">
      <c r="A26" s="685" t="s">
        <v>275</v>
      </c>
      <c r="B26" s="1100">
        <v>100</v>
      </c>
      <c r="C26" s="1101">
        <v>101.54774497255738</v>
      </c>
      <c r="D26" s="1063">
        <v>109.55124842307539</v>
      </c>
      <c r="E26" s="1063">
        <v>102.98700933890524</v>
      </c>
      <c r="F26" s="1063">
        <v>102.54017532597312</v>
      </c>
      <c r="G26" s="1063">
        <v>104.81383412639109</v>
      </c>
      <c r="H26" s="1063">
        <v>104.28591222342551</v>
      </c>
      <c r="I26" s="1063">
        <v>99.030807091990766</v>
      </c>
      <c r="J26" s="1063">
        <v>102.12931564968008</v>
      </c>
      <c r="K26" s="1063">
        <v>98.705303578402862</v>
      </c>
      <c r="L26" s="1063">
        <v>100.08067142159067</v>
      </c>
      <c r="M26" s="1063">
        <v>98.723783614748541</v>
      </c>
      <c r="N26" s="1063">
        <v>95.237539652397231</v>
      </c>
      <c r="O26" s="1063">
        <v>97.787430725576755</v>
      </c>
      <c r="P26" s="1063">
        <v>99.853003512976841</v>
      </c>
      <c r="Q26" s="473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</row>
    <row r="27" spans="1:60" s="472" customFormat="1" ht="17.25" customHeight="1" x14ac:dyDescent="0.2">
      <c r="A27" s="758" t="s">
        <v>293</v>
      </c>
      <c r="B27" s="1122">
        <f>65+6.80750321321837</f>
        <v>71.807503213218368</v>
      </c>
      <c r="C27" s="1103">
        <f>65+7.088776295594</f>
        <v>72.088776295594002</v>
      </c>
      <c r="D27" s="1066">
        <f>65+3.94924928626443</f>
        <v>68.949249286264433</v>
      </c>
      <c r="E27" s="1066">
        <f>65+6.66371241412932</f>
        <v>71.663712414129321</v>
      </c>
      <c r="F27" s="1066">
        <f>65+4.02256708724201</f>
        <v>69.02256708724201</v>
      </c>
      <c r="G27" s="1066">
        <f>65+6.18618240187575</f>
        <v>71.186182401875755</v>
      </c>
      <c r="H27" s="1066">
        <f>65+5.28116930660295</f>
        <v>70.281169306602948</v>
      </c>
      <c r="I27" s="1066">
        <f>65+6.89144322498957</f>
        <v>71.891443224989573</v>
      </c>
      <c r="J27" s="1066">
        <f>65+7.49654635323721</f>
        <v>72.496546353237207</v>
      </c>
      <c r="K27" s="1066">
        <f>65+8.55529934557697</f>
        <v>73.555299345576969</v>
      </c>
      <c r="L27" s="1066">
        <f>65+6.70060779175084</f>
        <v>71.700607791750841</v>
      </c>
      <c r="M27" s="1066">
        <f>65+8.23603600793349</f>
        <v>73.236036007933492</v>
      </c>
      <c r="N27" s="1066">
        <f>65+7.229020525736</f>
        <v>72.229020525736004</v>
      </c>
      <c r="O27" s="1066">
        <f>65+7.27956664134062</f>
        <v>72.279566641340622</v>
      </c>
      <c r="P27" s="1066">
        <f>65+8.72062263216345</f>
        <v>73.720622632163455</v>
      </c>
      <c r="Q27" s="542"/>
      <c r="R27" s="376"/>
      <c r="S27" s="376"/>
      <c r="T27" s="376"/>
      <c r="U27" s="376"/>
      <c r="V27" s="376"/>
      <c r="W27" s="376"/>
      <c r="X27" s="376"/>
      <c r="Y27" s="376"/>
      <c r="Z27" s="376"/>
      <c r="AA27" s="376"/>
      <c r="AB27" s="376"/>
      <c r="AC27" s="376"/>
      <c r="AD27" s="376"/>
      <c r="AE27" s="376"/>
      <c r="AF27" s="376"/>
      <c r="AG27" s="376"/>
      <c r="AH27" s="376"/>
      <c r="AI27" s="376"/>
      <c r="AJ27" s="376"/>
      <c r="AK27" s="376"/>
      <c r="AL27" s="376"/>
      <c r="AM27" s="376"/>
      <c r="AN27" s="376"/>
      <c r="AO27" s="376"/>
      <c r="AP27" s="376"/>
      <c r="AQ27" s="376"/>
      <c r="AR27" s="376"/>
      <c r="AS27" s="376"/>
      <c r="AT27" s="376"/>
      <c r="AU27" s="376"/>
      <c r="AV27" s="376"/>
      <c r="AW27" s="376"/>
      <c r="AX27" s="376"/>
      <c r="AY27" s="376"/>
      <c r="AZ27" s="376"/>
      <c r="BA27" s="376"/>
      <c r="BB27" s="376"/>
      <c r="BC27" s="376"/>
      <c r="BD27" s="376"/>
      <c r="BE27" s="376"/>
      <c r="BF27" s="376"/>
      <c r="BG27" s="376"/>
      <c r="BH27" s="376"/>
    </row>
    <row r="28" spans="1:60" s="185" customFormat="1" ht="17.25" customHeight="1" x14ac:dyDescent="0.2">
      <c r="A28" s="686" t="s">
        <v>276</v>
      </c>
      <c r="B28" s="1104">
        <v>100</v>
      </c>
      <c r="C28" s="1105">
        <v>94.307608937376429</v>
      </c>
      <c r="D28" s="1071">
        <v>98.286957989101538</v>
      </c>
      <c r="E28" s="1071">
        <v>93.117854780811697</v>
      </c>
      <c r="F28" s="1071">
        <v>83.396868489647659</v>
      </c>
      <c r="G28" s="1071">
        <v>92.540344016454029</v>
      </c>
      <c r="H28" s="1071">
        <v>83.836424512699338</v>
      </c>
      <c r="I28" s="1071">
        <v>92.286749906805596</v>
      </c>
      <c r="J28" s="1071">
        <v>93.344346337110579</v>
      </c>
      <c r="K28" s="1071">
        <v>97.437009704565</v>
      </c>
      <c r="L28" s="1071">
        <v>100.07781111005363</v>
      </c>
      <c r="M28" s="1071">
        <v>93.683003979232055</v>
      </c>
      <c r="N28" s="1071">
        <v>97.991451281251571</v>
      </c>
      <c r="O28" s="1071">
        <v>92.77932613181747</v>
      </c>
      <c r="P28" s="1071">
        <v>97.646455343110148</v>
      </c>
      <c r="Q28" s="473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</row>
    <row r="29" spans="1:60" s="25" customFormat="1" ht="17.25" customHeight="1" x14ac:dyDescent="0.2">
      <c r="A29" s="778" t="s">
        <v>225</v>
      </c>
      <c r="B29" s="1122">
        <f>65+7.93347031992596</f>
        <v>72.933470319925959</v>
      </c>
      <c r="C29" s="1103">
        <f>65+7.73110703252119</f>
        <v>72.731107032521194</v>
      </c>
      <c r="D29" s="1066">
        <f>65+4.70893969087986</f>
        <v>69.708939690879859</v>
      </c>
      <c r="E29" s="1066">
        <f>65+9.75459772425452</f>
        <v>74.754597724254523</v>
      </c>
      <c r="F29" s="1066">
        <f>65+8.86323408840363</f>
        <v>73.86323408840363</v>
      </c>
      <c r="G29" s="1066">
        <f>65+6.78914168792191</f>
        <v>71.789141687921912</v>
      </c>
      <c r="H29" s="1066">
        <f>65+9.21368756907418</f>
        <v>74.213687569074182</v>
      </c>
      <c r="I29" s="1066">
        <f>65+7.82085407619454</f>
        <v>72.820854076194536</v>
      </c>
      <c r="J29" s="1066">
        <f>65+9.27862077866422</f>
        <v>74.278620778664219</v>
      </c>
      <c r="K29" s="1066">
        <f>65+7.03631235276423</f>
        <v>72.036312352764227</v>
      </c>
      <c r="L29" s="1066">
        <f>65+7.31517361030322</f>
        <v>72.315173610303219</v>
      </c>
      <c r="M29" s="1066">
        <f>65+8.61232483047866</f>
        <v>73.612324830478656</v>
      </c>
      <c r="N29" s="1066">
        <f>65+6.75417686331964</f>
        <v>71.754176863319643</v>
      </c>
      <c r="O29" s="1066">
        <f>65+7.38908013669845</f>
        <v>72.389080136698453</v>
      </c>
      <c r="P29" s="1066">
        <f>65+8.30148959254842</f>
        <v>73.301489592548421</v>
      </c>
      <c r="Q29" s="473"/>
      <c r="R29" s="415"/>
      <c r="S29" s="415"/>
      <c r="T29" s="415"/>
      <c r="U29" s="415"/>
      <c r="V29" s="415"/>
      <c r="W29" s="415"/>
      <c r="X29" s="415"/>
      <c r="Y29" s="415"/>
      <c r="Z29" s="415"/>
      <c r="AA29" s="415"/>
      <c r="AB29" s="415"/>
      <c r="AC29" s="415"/>
      <c r="AD29" s="415"/>
      <c r="AE29" s="415"/>
      <c r="AF29" s="415"/>
      <c r="AG29" s="415"/>
      <c r="AH29" s="415"/>
      <c r="AI29" s="415"/>
      <c r="AJ29" s="415"/>
      <c r="AK29" s="415"/>
    </row>
    <row r="30" spans="1:60" s="185" customFormat="1" ht="17.25" customHeight="1" x14ac:dyDescent="0.2">
      <c r="A30" s="686" t="s">
        <v>277</v>
      </c>
      <c r="B30" s="1104">
        <v>100</v>
      </c>
      <c r="C30" s="1105">
        <v>99.286007277282494</v>
      </c>
      <c r="D30" s="1071">
        <v>94.800538245044692</v>
      </c>
      <c r="E30" s="1071">
        <v>105.99213711467273</v>
      </c>
      <c r="F30" s="1071">
        <v>103.33274776713625</v>
      </c>
      <c r="G30" s="1071">
        <v>98.734007422270182</v>
      </c>
      <c r="H30" s="1071">
        <v>103.05673182145765</v>
      </c>
      <c r="I30" s="1071">
        <v>102.65764794452008</v>
      </c>
      <c r="J30" s="1071">
        <v>101.51156528300388</v>
      </c>
      <c r="K30" s="1071">
        <v>96.139109905471472</v>
      </c>
      <c r="L30" s="1071">
        <v>98.81337764130194</v>
      </c>
      <c r="M30" s="1071">
        <v>100.87575765049912</v>
      </c>
      <c r="N30" s="1071">
        <v>100.06319129249461</v>
      </c>
      <c r="O30" s="1071">
        <v>96.28855990197755</v>
      </c>
      <c r="P30" s="1071">
        <v>99.686809595911214</v>
      </c>
      <c r="Q30" s="473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</row>
    <row r="31" spans="1:60" s="185" customFormat="1" ht="17.25" customHeight="1" x14ac:dyDescent="0.2">
      <c r="A31" s="689" t="s">
        <v>279</v>
      </c>
      <c r="B31" s="1123">
        <v>100</v>
      </c>
      <c r="C31" s="1105">
        <v>102.83505392473154</v>
      </c>
      <c r="D31" s="1071">
        <v>95.905168798491744</v>
      </c>
      <c r="E31" s="1074">
        <v>110.81244855090621</v>
      </c>
      <c r="F31" s="1074">
        <v>95.732419715498239</v>
      </c>
      <c r="G31" s="1074">
        <v>104.56199965448899</v>
      </c>
      <c r="H31" s="1074">
        <v>107.41438526512613</v>
      </c>
      <c r="I31" s="1093">
        <v>97.730179573855963</v>
      </c>
      <c r="J31" s="1093">
        <v>100.00458862954343</v>
      </c>
      <c r="K31" s="1093">
        <v>102.92652696429144</v>
      </c>
      <c r="L31" s="1093">
        <v>98.827622288538748</v>
      </c>
      <c r="M31" s="1093">
        <v>96.946581732159984</v>
      </c>
      <c r="N31" s="1093">
        <v>102.27023973390051</v>
      </c>
      <c r="O31" s="1093">
        <v>91.898091012410319</v>
      </c>
      <c r="P31" s="1093">
        <v>100.45011802523719</v>
      </c>
      <c r="Q31" s="473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</row>
    <row r="32" spans="1:60" s="25" customFormat="1" ht="17.25" customHeight="1" x14ac:dyDescent="0.2">
      <c r="A32" s="455" t="s">
        <v>15</v>
      </c>
      <c r="B32" s="1108"/>
      <c r="C32" s="1109"/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73"/>
    </row>
    <row r="33" spans="1:60" s="25" customFormat="1" ht="17.25" customHeight="1" x14ac:dyDescent="0.2">
      <c r="A33" s="780" t="s">
        <v>294</v>
      </c>
      <c r="B33" s="1124">
        <v>7.0653158737759414</v>
      </c>
      <c r="C33" s="1125">
        <v>7.1058357459456198</v>
      </c>
      <c r="D33" s="1126">
        <v>6.8406323788049201</v>
      </c>
      <c r="E33" s="1126">
        <v>7.176682318099985</v>
      </c>
      <c r="F33" s="1126">
        <v>7.0561877656345633</v>
      </c>
      <c r="G33" s="1126">
        <v>7.1683683246389416</v>
      </c>
      <c r="H33" s="1126">
        <v>7.1683683246389416</v>
      </c>
      <c r="I33" s="1126">
        <v>7.0646409664016749</v>
      </c>
      <c r="J33" s="1126">
        <v>7.1681993348321953</v>
      </c>
      <c r="K33" s="1126">
        <v>6.9638055426380152</v>
      </c>
      <c r="L33" s="1126">
        <v>7.043368294135866</v>
      </c>
      <c r="M33" s="1126">
        <v>7.0181993657419781</v>
      </c>
      <c r="N33" s="1126" t="s">
        <v>220</v>
      </c>
      <c r="O33" s="1126">
        <v>7.1631346161547169</v>
      </c>
      <c r="P33" s="1126">
        <v>7.1852682436763322</v>
      </c>
      <c r="Q33" s="473"/>
    </row>
    <row r="34" spans="1:60" s="25" customFormat="1" ht="17.25" customHeight="1" x14ac:dyDescent="0.2">
      <c r="A34" s="455" t="s">
        <v>16</v>
      </c>
      <c r="B34" s="1108"/>
      <c r="C34" s="1109"/>
      <c r="D34" s="1077"/>
      <c r="E34" s="1077"/>
      <c r="F34" s="1077"/>
      <c r="G34" s="1077"/>
      <c r="H34" s="1077"/>
      <c r="I34" s="1077"/>
      <c r="J34" s="1077"/>
      <c r="K34" s="1077"/>
      <c r="L34" s="1077"/>
      <c r="M34" s="1127"/>
      <c r="N34" s="1077"/>
      <c r="O34" s="1077"/>
      <c r="P34" s="1127"/>
      <c r="Q34" s="473"/>
    </row>
    <row r="35" spans="1:60" s="25" customFormat="1" ht="17.25" customHeight="1" x14ac:dyDescent="0.2">
      <c r="A35" s="463" t="s">
        <v>6</v>
      </c>
      <c r="B35" s="1128">
        <v>5.3142878503785065</v>
      </c>
      <c r="C35" s="1129">
        <v>5.2813400324908928</v>
      </c>
      <c r="D35" s="1130">
        <v>5.9469741104930005</v>
      </c>
      <c r="E35" s="1130">
        <v>5.2180873514847015</v>
      </c>
      <c r="F35" s="1130">
        <v>2.6109932253909767</v>
      </c>
      <c r="G35" s="1130">
        <v>5.1758300326737565</v>
      </c>
      <c r="H35" s="1130">
        <v>4.6268943357151775</v>
      </c>
      <c r="I35" s="1130">
        <v>6.1653366249235164</v>
      </c>
      <c r="J35" s="1130">
        <v>6.2516918908171881</v>
      </c>
      <c r="K35" s="1130">
        <v>6.1091992272036446</v>
      </c>
      <c r="L35" s="1130">
        <v>4.8726678260648804</v>
      </c>
      <c r="M35" s="1130">
        <v>5.6942428443698407</v>
      </c>
      <c r="N35" s="1130">
        <v>6.9558951704963849</v>
      </c>
      <c r="O35" s="1130">
        <v>6.2226084554028036</v>
      </c>
      <c r="P35" s="1130">
        <v>5.6221087407970041</v>
      </c>
      <c r="Q35" s="473"/>
    </row>
    <row r="36" spans="1:60" s="25" customFormat="1" ht="17.25" customHeight="1" x14ac:dyDescent="0.2">
      <c r="A36" s="466" t="s">
        <v>7</v>
      </c>
      <c r="B36" s="1131">
        <v>5.5386407434438247</v>
      </c>
      <c r="C36" s="1129">
        <v>4.5726271853099698</v>
      </c>
      <c r="D36" s="1066">
        <v>4.4026584638510924</v>
      </c>
      <c r="E36" s="1066">
        <v>4.4026584638510924</v>
      </c>
      <c r="F36" s="1132">
        <v>4.7908951901859229</v>
      </c>
      <c r="G36" s="1066">
        <v>4.6457112061784418</v>
      </c>
      <c r="H36" s="1066">
        <v>5.8462497245342968</v>
      </c>
      <c r="I36" s="1066">
        <v>4.9031582163817946</v>
      </c>
      <c r="J36" s="1132">
        <v>4.6457112061784418</v>
      </c>
      <c r="K36" s="1066">
        <v>3.5091677042546641</v>
      </c>
      <c r="L36" s="1066">
        <v>4.1078735400646069</v>
      </c>
      <c r="M36" s="1132">
        <v>4.1718256555919613</v>
      </c>
      <c r="N36" s="1066" t="s">
        <v>246</v>
      </c>
      <c r="O36" s="1066">
        <v>5.9977191836871757</v>
      </c>
      <c r="P36" s="1066">
        <v>4.7541337515178368</v>
      </c>
      <c r="Q36" s="473"/>
    </row>
    <row r="37" spans="1:60" s="25" customFormat="1" ht="17.25" customHeight="1" x14ac:dyDescent="0.2">
      <c r="A37" s="461" t="s">
        <v>8</v>
      </c>
      <c r="B37" s="1133">
        <v>6.3913264353079944</v>
      </c>
      <c r="C37" s="1129">
        <v>6.0262921336602293</v>
      </c>
      <c r="D37" s="1126">
        <v>5.9123128330415344</v>
      </c>
      <c r="E37" s="1126">
        <v>6.2721759528884569</v>
      </c>
      <c r="F37" s="1134" t="s">
        <v>247</v>
      </c>
      <c r="G37" s="1126">
        <v>5.3914279755005587</v>
      </c>
      <c r="H37" s="1126">
        <v>6.2721759528884569</v>
      </c>
      <c r="I37" s="1126">
        <v>7.1957139877502794</v>
      </c>
      <c r="J37" s="1134">
        <v>5.9885637913115275</v>
      </c>
      <c r="K37" s="1126">
        <v>6.403188873059884</v>
      </c>
      <c r="L37" s="1126">
        <v>5.0528942163909516</v>
      </c>
      <c r="M37" s="1134">
        <v>8.3180439882221151</v>
      </c>
      <c r="N37" s="1126" t="s">
        <v>134</v>
      </c>
      <c r="O37" s="1126">
        <v>5.8379000580310567</v>
      </c>
      <c r="P37" s="1126">
        <v>7.0117736504612962</v>
      </c>
      <c r="Q37" s="473"/>
    </row>
    <row r="38" spans="1:60" ht="17.25" customHeight="1" x14ac:dyDescent="0.2">
      <c r="A38" s="77"/>
      <c r="B38" s="1135"/>
      <c r="C38" s="1240"/>
      <c r="D38" s="1235"/>
      <c r="E38" s="1235"/>
      <c r="F38" s="1235"/>
      <c r="G38" s="1235"/>
      <c r="H38" s="1235"/>
      <c r="I38" s="1235"/>
      <c r="J38" s="1235"/>
      <c r="K38" s="1136"/>
      <c r="L38" s="1235"/>
      <c r="M38" s="1136"/>
      <c r="N38" s="1136"/>
      <c r="O38" s="1235"/>
      <c r="P38" s="1137"/>
      <c r="Q38" s="893"/>
    </row>
    <row r="39" spans="1:60" s="25" customFormat="1" ht="17.25" customHeight="1" x14ac:dyDescent="0.2">
      <c r="A39" s="275" t="s">
        <v>9</v>
      </c>
      <c r="B39" s="1135"/>
      <c r="C39" s="1241"/>
      <c r="D39" s="1237">
        <v>2010</v>
      </c>
      <c r="E39" s="1238">
        <v>2018</v>
      </c>
      <c r="F39" s="1238">
        <v>2017</v>
      </c>
      <c r="G39" s="1238">
        <v>2014</v>
      </c>
      <c r="H39" s="1238">
        <v>2014</v>
      </c>
      <c r="I39" s="1238">
        <v>2012</v>
      </c>
      <c r="J39" s="1238">
        <v>2016</v>
      </c>
      <c r="K39" s="1238">
        <v>2008</v>
      </c>
      <c r="L39" s="1238">
        <v>2014</v>
      </c>
      <c r="M39" s="1238">
        <v>2016</v>
      </c>
      <c r="N39" s="1238">
        <v>2018</v>
      </c>
      <c r="O39" s="1238">
        <v>2015</v>
      </c>
      <c r="P39" s="1239">
        <v>2011</v>
      </c>
      <c r="Q39" s="473"/>
    </row>
    <row r="40" spans="1:60" s="25" customFormat="1" ht="17.25" customHeight="1" x14ac:dyDescent="0.2">
      <c r="A40" s="1289" t="s">
        <v>405</v>
      </c>
      <c r="B40" s="213" t="s">
        <v>5</v>
      </c>
      <c r="C40" s="213" t="s">
        <v>5</v>
      </c>
      <c r="D40" s="1290" t="s">
        <v>415</v>
      </c>
      <c r="E40" s="1290" t="s">
        <v>409</v>
      </c>
      <c r="F40" s="1290" t="s">
        <v>416</v>
      </c>
      <c r="G40" s="1290" t="s">
        <v>415</v>
      </c>
      <c r="H40" s="1290" t="s">
        <v>409</v>
      </c>
      <c r="I40" s="1290" t="s">
        <v>409</v>
      </c>
      <c r="J40" s="1290" t="s">
        <v>413</v>
      </c>
      <c r="K40" s="1290" t="s">
        <v>413</v>
      </c>
      <c r="L40" s="1290" t="s">
        <v>413</v>
      </c>
      <c r="M40" s="1295" t="s">
        <v>409</v>
      </c>
      <c r="N40" s="1291" t="s">
        <v>415</v>
      </c>
      <c r="O40" s="1291" t="s">
        <v>415</v>
      </c>
      <c r="P40" s="1290" t="s">
        <v>413</v>
      </c>
      <c r="Q40" s="473"/>
    </row>
    <row r="41" spans="1:60" s="25" customFormat="1" ht="17.25" customHeight="1" x14ac:dyDescent="0.2">
      <c r="A41" s="1289" t="s">
        <v>406</v>
      </c>
      <c r="B41" s="213" t="s">
        <v>5</v>
      </c>
      <c r="C41" s="213" t="s">
        <v>5</v>
      </c>
      <c r="D41" s="1290" t="s">
        <v>408</v>
      </c>
      <c r="E41" s="1290" t="s">
        <v>410</v>
      </c>
      <c r="F41" s="1290" t="s">
        <v>417</v>
      </c>
      <c r="G41" s="1290" t="s">
        <v>408</v>
      </c>
      <c r="H41" s="1290" t="s">
        <v>410</v>
      </c>
      <c r="I41" s="1290" t="s">
        <v>410</v>
      </c>
      <c r="J41" s="1290" t="s">
        <v>414</v>
      </c>
      <c r="K41" s="1290" t="s">
        <v>414</v>
      </c>
      <c r="L41" s="1290" t="s">
        <v>414</v>
      </c>
      <c r="M41" s="1295" t="s">
        <v>410</v>
      </c>
      <c r="N41" s="1291" t="s">
        <v>408</v>
      </c>
      <c r="O41" s="1290" t="s">
        <v>418</v>
      </c>
      <c r="P41" s="1290" t="s">
        <v>414</v>
      </c>
      <c r="Q41" s="473"/>
    </row>
    <row r="42" spans="1:60" s="185" customFormat="1" ht="17.25" customHeight="1" x14ac:dyDescent="0.2">
      <c r="A42" s="474" t="s">
        <v>10</v>
      </c>
      <c r="B42" s="475"/>
      <c r="C42" s="476"/>
      <c r="D42" s="1236"/>
      <c r="E42" s="1236"/>
      <c r="F42" s="1236"/>
      <c r="G42" s="1236"/>
      <c r="H42" s="1236"/>
      <c r="I42" s="1236"/>
      <c r="J42" s="1236"/>
      <c r="K42" s="510"/>
      <c r="L42" s="1236"/>
      <c r="M42" s="489"/>
      <c r="N42" s="489"/>
      <c r="O42" s="489"/>
      <c r="P42" s="489"/>
      <c r="Q42" s="473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</row>
    <row r="43" spans="1:60" s="185" customFormat="1" ht="17.25" customHeight="1" x14ac:dyDescent="0.2">
      <c r="A43" s="463" t="s">
        <v>27</v>
      </c>
      <c r="B43" s="480" t="s">
        <v>5</v>
      </c>
      <c r="C43" s="481" t="s">
        <v>5</v>
      </c>
      <c r="D43" s="483">
        <v>28</v>
      </c>
      <c r="E43" s="483">
        <v>9</v>
      </c>
      <c r="F43" s="483">
        <v>12</v>
      </c>
      <c r="G43" s="483">
        <v>12</v>
      </c>
      <c r="H43" s="483">
        <v>12</v>
      </c>
      <c r="I43" s="483">
        <v>11</v>
      </c>
      <c r="J43" s="483">
        <v>12</v>
      </c>
      <c r="K43" s="483">
        <v>18</v>
      </c>
      <c r="L43" s="483">
        <v>12</v>
      </c>
      <c r="M43" s="484">
        <v>12</v>
      </c>
      <c r="N43" s="810">
        <v>6</v>
      </c>
      <c r="O43" s="483">
        <v>11</v>
      </c>
      <c r="P43" s="491">
        <v>12</v>
      </c>
      <c r="Q43" s="473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</row>
    <row r="44" spans="1:60" s="185" customFormat="1" ht="17.25" customHeight="1" x14ac:dyDescent="0.2">
      <c r="A44" s="466" t="s">
        <v>28</v>
      </c>
      <c r="B44" s="485" t="s">
        <v>5</v>
      </c>
      <c r="C44" s="486" t="s">
        <v>5</v>
      </c>
      <c r="D44" s="488">
        <v>26</v>
      </c>
      <c r="E44" s="488">
        <v>6</v>
      </c>
      <c r="F44" s="488">
        <v>9</v>
      </c>
      <c r="G44" s="488">
        <v>13</v>
      </c>
      <c r="H44" s="488">
        <v>13</v>
      </c>
      <c r="I44" s="488">
        <v>10</v>
      </c>
      <c r="J44" s="488">
        <v>12</v>
      </c>
      <c r="K44" s="488">
        <v>16</v>
      </c>
      <c r="L44" s="488">
        <v>13</v>
      </c>
      <c r="M44" s="488">
        <v>12</v>
      </c>
      <c r="N44" s="488">
        <v>6</v>
      </c>
      <c r="O44" s="488">
        <v>12</v>
      </c>
      <c r="P44" s="492">
        <v>11</v>
      </c>
      <c r="Q44" s="473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</row>
    <row r="45" spans="1:60" s="185" customFormat="1" ht="17.25" customHeight="1" thickBot="1" x14ac:dyDescent="0.25">
      <c r="A45" s="303" t="s">
        <v>29</v>
      </c>
      <c r="B45" s="550" t="s">
        <v>5</v>
      </c>
      <c r="C45" s="551" t="s">
        <v>5</v>
      </c>
      <c r="D45" s="552">
        <v>22</v>
      </c>
      <c r="E45" s="552">
        <v>5</v>
      </c>
      <c r="F45" s="552">
        <v>5</v>
      </c>
      <c r="G45" s="552">
        <v>13</v>
      </c>
      <c r="H45" s="552">
        <v>13</v>
      </c>
      <c r="I45" s="552">
        <v>11</v>
      </c>
      <c r="J45" s="552">
        <v>9</v>
      </c>
      <c r="K45" s="552">
        <v>13</v>
      </c>
      <c r="L45" s="552">
        <v>13</v>
      </c>
      <c r="M45" s="552">
        <v>9</v>
      </c>
      <c r="N45" s="552">
        <v>5</v>
      </c>
      <c r="O45" s="552">
        <v>12</v>
      </c>
      <c r="P45" s="553">
        <v>12</v>
      </c>
      <c r="Q45" s="473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</row>
    <row r="46" spans="1:60" s="8" customFormat="1" x14ac:dyDescent="0.2">
      <c r="A46" s="354"/>
      <c r="B46" s="355"/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</row>
    <row r="47" spans="1:60" s="8" customFormat="1" x14ac:dyDescent="0.2">
      <c r="A47" s="8" t="s">
        <v>77</v>
      </c>
      <c r="B47" s="96"/>
      <c r="C47" s="96"/>
      <c r="D47" s="96"/>
      <c r="E47" s="144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</row>
    <row r="48" spans="1:60" x14ac:dyDescent="0.2">
      <c r="A48" s="1" t="s">
        <v>72</v>
      </c>
      <c r="B48" s="2"/>
      <c r="C48" s="2"/>
      <c r="K48" s="8"/>
      <c r="M48" s="11"/>
      <c r="N48" s="8"/>
      <c r="O48" s="8"/>
      <c r="P48" s="91"/>
    </row>
    <row r="49" spans="1:16" x14ac:dyDescent="0.2">
      <c r="A49" s="807" t="s">
        <v>366</v>
      </c>
      <c r="B49" s="2"/>
      <c r="C49" s="2"/>
      <c r="K49" s="8"/>
      <c r="M49" s="11"/>
      <c r="N49" s="8"/>
      <c r="O49" s="8"/>
      <c r="P49" s="91"/>
    </row>
    <row r="50" spans="1:16" x14ac:dyDescent="0.2">
      <c r="A50" s="1" t="s">
        <v>61</v>
      </c>
      <c r="B50" s="2"/>
      <c r="C50" s="2"/>
      <c r="K50" s="8"/>
      <c r="M50" s="11"/>
      <c r="N50" s="8"/>
      <c r="O50" s="8"/>
      <c r="P50" s="91"/>
    </row>
    <row r="51" spans="1:16" x14ac:dyDescent="0.2">
      <c r="A51" s="1" t="s">
        <v>62</v>
      </c>
      <c r="B51" s="2"/>
      <c r="C51" s="2"/>
      <c r="K51" s="8"/>
      <c r="M51" s="11"/>
      <c r="N51" s="8"/>
      <c r="O51" s="8"/>
      <c r="P51" s="91"/>
    </row>
    <row r="52" spans="1:16" x14ac:dyDescent="0.2">
      <c r="A52" s="6" t="s">
        <v>64</v>
      </c>
      <c r="B52" s="96"/>
      <c r="C52" s="96"/>
    </row>
    <row r="53" spans="1:16" x14ac:dyDescent="0.2">
      <c r="A53" s="146" t="s">
        <v>112</v>
      </c>
    </row>
    <row r="55" spans="1:16" x14ac:dyDescent="0.2">
      <c r="B55" s="453" t="s">
        <v>1</v>
      </c>
      <c r="C55" s="1278" t="s">
        <v>367</v>
      </c>
    </row>
    <row r="56" spans="1:16" x14ac:dyDescent="0.2">
      <c r="B56" s="453" t="s">
        <v>4</v>
      </c>
      <c r="C56" s="1278" t="s">
        <v>368</v>
      </c>
    </row>
    <row r="57" spans="1:16" x14ac:dyDescent="0.2">
      <c r="B57" s="453" t="s">
        <v>2</v>
      </c>
      <c r="C57" s="1278" t="s">
        <v>369</v>
      </c>
    </row>
    <row r="58" spans="1:16" x14ac:dyDescent="0.2">
      <c r="B58" s="453" t="s">
        <v>3</v>
      </c>
      <c r="C58" s="1278" t="s">
        <v>370</v>
      </c>
    </row>
  </sheetData>
  <phoneticPr fontId="5" type="noConversion"/>
  <printOptions horizontalCentered="1" verticalCentered="1"/>
  <pageMargins left="0.39370078740157483" right="0.39370078740157483" top="0.39370078740157483" bottom="0.39370078740157483" header="0.19685039370078741" footer="0.15748031496062992"/>
  <pageSetup paperSize="8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D75"/>
  <sheetViews>
    <sheetView topLeftCell="C1" zoomScale="80" zoomScaleNormal="80" workbookViewId="0">
      <selection activeCell="N38" sqref="N38"/>
    </sheetView>
  </sheetViews>
  <sheetFormatPr defaultColWidth="9.140625" defaultRowHeight="12.75" x14ac:dyDescent="0.2"/>
  <cols>
    <col min="1" max="1" width="44.42578125" style="6" customWidth="1"/>
    <col min="2" max="3" width="9" style="95" customWidth="1"/>
    <col min="4" max="13" width="8.140625" style="95" customWidth="1"/>
    <col min="14" max="14" width="7.140625" style="95" bestFit="1" customWidth="1"/>
    <col min="15" max="22" width="8.140625" style="95" customWidth="1"/>
    <col min="23" max="23" width="3.140625" style="6" customWidth="1"/>
    <col min="24" max="16384" width="9.140625" style="6"/>
  </cols>
  <sheetData>
    <row r="1" spans="1:23" ht="15" x14ac:dyDescent="0.25">
      <c r="A1" s="41" t="s">
        <v>146</v>
      </c>
      <c r="B1" s="97"/>
      <c r="C1" s="97"/>
      <c r="D1" s="3"/>
      <c r="E1" s="3"/>
      <c r="F1" s="3"/>
      <c r="G1" s="3"/>
      <c r="H1" s="3"/>
      <c r="I1" s="4"/>
      <c r="J1" s="4"/>
      <c r="K1" s="4"/>
      <c r="L1" s="4"/>
      <c r="M1" s="4"/>
      <c r="N1" s="4"/>
    </row>
    <row r="2" spans="1:23" ht="15.75" thickBot="1" x14ac:dyDescent="0.3">
      <c r="A2" s="41"/>
      <c r="B2" s="97"/>
      <c r="C2" s="97"/>
      <c r="D2" s="3"/>
      <c r="E2" s="3"/>
      <c r="F2" s="3"/>
      <c r="G2" s="3"/>
      <c r="H2" s="3"/>
      <c r="I2" s="4"/>
      <c r="J2" s="4"/>
      <c r="K2" s="4"/>
      <c r="L2" s="4"/>
      <c r="M2" s="4"/>
      <c r="N2" s="4"/>
    </row>
    <row r="3" spans="1:23" ht="81.599999999999994" customHeight="1" x14ac:dyDescent="0.2">
      <c r="A3" s="208"/>
      <c r="B3" s="50" t="s">
        <v>140</v>
      </c>
      <c r="C3" s="50" t="s">
        <v>340</v>
      </c>
      <c r="D3" s="749" t="s">
        <v>176</v>
      </c>
      <c r="E3" s="750" t="s">
        <v>177</v>
      </c>
      <c r="F3" s="750" t="s">
        <v>178</v>
      </c>
      <c r="G3" s="20" t="s">
        <v>179</v>
      </c>
      <c r="H3" s="750" t="s">
        <v>234</v>
      </c>
      <c r="I3" s="20" t="s">
        <v>180</v>
      </c>
      <c r="J3" s="749" t="s">
        <v>235</v>
      </c>
      <c r="K3" s="21" t="s">
        <v>181</v>
      </c>
      <c r="L3" s="750" t="s">
        <v>252</v>
      </c>
      <c r="M3" s="554" t="s">
        <v>182</v>
      </c>
      <c r="N3" s="750" t="s">
        <v>231</v>
      </c>
      <c r="O3" s="555" t="s">
        <v>183</v>
      </c>
      <c r="P3" s="750" t="s">
        <v>184</v>
      </c>
      <c r="Q3" s="555" t="s">
        <v>185</v>
      </c>
      <c r="R3" s="611" t="s">
        <v>187</v>
      </c>
      <c r="S3" s="20" t="s">
        <v>189</v>
      </c>
      <c r="T3" s="21" t="s">
        <v>188</v>
      </c>
      <c r="U3" s="751" t="s">
        <v>186</v>
      </c>
      <c r="V3" s="21" t="s">
        <v>190</v>
      </c>
      <c r="W3" s="893"/>
    </row>
    <row r="4" spans="1:23" ht="30.6" customHeight="1" x14ac:dyDescent="0.2">
      <c r="A4" s="43" t="s">
        <v>26</v>
      </c>
      <c r="B4" s="52" t="s">
        <v>5</v>
      </c>
      <c r="C4" s="52" t="s">
        <v>5</v>
      </c>
      <c r="D4" s="673" t="s">
        <v>4</v>
      </c>
      <c r="E4" s="673" t="s">
        <v>4</v>
      </c>
      <c r="F4" s="673" t="s">
        <v>1</v>
      </c>
      <c r="G4" s="23" t="s">
        <v>2</v>
      </c>
      <c r="H4" s="1276" t="s">
        <v>2</v>
      </c>
      <c r="I4" s="1276" t="s">
        <v>4</v>
      </c>
      <c r="J4" s="1276" t="s">
        <v>2</v>
      </c>
      <c r="K4" s="23" t="s">
        <v>3</v>
      </c>
      <c r="L4" s="673" t="s">
        <v>2</v>
      </c>
      <c r="M4" s="23" t="s">
        <v>2</v>
      </c>
      <c r="N4" s="673" t="s">
        <v>2</v>
      </c>
      <c r="O4" s="673" t="s">
        <v>4</v>
      </c>
      <c r="P4" s="673" t="s">
        <v>3</v>
      </c>
      <c r="Q4" s="23" t="s">
        <v>3</v>
      </c>
      <c r="R4" s="556" t="s">
        <v>2</v>
      </c>
      <c r="S4" s="23" t="s">
        <v>2</v>
      </c>
      <c r="T4" s="673" t="s">
        <v>4</v>
      </c>
      <c r="U4" s="673" t="s">
        <v>1</v>
      </c>
      <c r="V4" s="556" t="s">
        <v>4</v>
      </c>
      <c r="W4" s="893"/>
    </row>
    <row r="5" spans="1:23" s="25" customFormat="1" ht="13.5" customHeight="1" x14ac:dyDescent="0.2">
      <c r="A5" s="499" t="s">
        <v>11</v>
      </c>
      <c r="B5" s="56" t="s">
        <v>5</v>
      </c>
      <c r="C5" s="56" t="s">
        <v>5</v>
      </c>
      <c r="D5" s="24">
        <v>141.31</v>
      </c>
      <c r="E5" s="24">
        <v>143.613</v>
      </c>
      <c r="F5" s="24">
        <v>143.73099999999999</v>
      </c>
      <c r="G5" s="24">
        <v>143.792</v>
      </c>
      <c r="H5" s="1277">
        <v>44338</v>
      </c>
      <c r="I5" s="1277">
        <v>146.16300000000001</v>
      </c>
      <c r="J5" s="1277">
        <v>44341</v>
      </c>
      <c r="K5" s="24">
        <v>147.774</v>
      </c>
      <c r="L5" s="24">
        <v>148.387</v>
      </c>
      <c r="M5" s="24">
        <v>150.85500000000002</v>
      </c>
      <c r="N5" s="24">
        <v>150.29299768518518</v>
      </c>
      <c r="O5" s="24">
        <v>151.32499999999999</v>
      </c>
      <c r="P5" s="26">
        <v>151.40199999999999</v>
      </c>
      <c r="Q5" s="26">
        <v>151.65300000000002</v>
      </c>
      <c r="R5" s="26">
        <v>151.828</v>
      </c>
      <c r="S5" s="26">
        <v>152.04000000000002</v>
      </c>
      <c r="T5" s="26">
        <v>152.06200000000001</v>
      </c>
      <c r="U5" s="24">
        <v>152.09699999999998</v>
      </c>
      <c r="V5" s="26">
        <v>153.13299999999998</v>
      </c>
      <c r="W5" s="473"/>
    </row>
    <row r="6" spans="1:23" s="25" customFormat="1" ht="17.25" customHeight="1" x14ac:dyDescent="0.2">
      <c r="A6" s="860" t="s">
        <v>13</v>
      </c>
      <c r="B6" s="861"/>
      <c r="C6" s="861"/>
      <c r="D6" s="863"/>
      <c r="E6" s="863"/>
      <c r="F6" s="863"/>
      <c r="G6" s="863"/>
      <c r="H6" s="863"/>
      <c r="I6" s="863"/>
      <c r="J6" s="863"/>
      <c r="K6" s="863"/>
      <c r="L6" s="863"/>
      <c r="M6" s="863"/>
      <c r="N6" s="863"/>
      <c r="O6" s="863"/>
      <c r="P6" s="863"/>
      <c r="Q6" s="863"/>
      <c r="R6" s="863"/>
      <c r="S6" s="863"/>
      <c r="T6" s="863"/>
      <c r="U6" s="863"/>
      <c r="V6" s="863"/>
      <c r="W6" s="473"/>
    </row>
    <row r="7" spans="1:23" s="25" customFormat="1" ht="17.25" customHeight="1" x14ac:dyDescent="0.2">
      <c r="A7" s="685" t="s">
        <v>295</v>
      </c>
      <c r="B7" s="1100">
        <v>100</v>
      </c>
      <c r="C7" s="1101">
        <v>97.610648216223453</v>
      </c>
      <c r="D7" s="1063">
        <v>100.55178302376711</v>
      </c>
      <c r="E7" s="1063">
        <v>98.091741470309188</v>
      </c>
      <c r="F7" s="1063">
        <v>98.948772560613804</v>
      </c>
      <c r="G7" s="1063">
        <v>97.293865280426701</v>
      </c>
      <c r="H7" s="1063">
        <v>97.965979974119449</v>
      </c>
      <c r="I7" s="1063">
        <v>93.890195881974819</v>
      </c>
      <c r="J7" s="1063">
        <v>102.29234057704119</v>
      </c>
      <c r="K7" s="1063">
        <v>99.004220504344659</v>
      </c>
      <c r="L7" s="1063">
        <v>101.95273596553687</v>
      </c>
      <c r="M7" s="1063">
        <v>104.07653155951624</v>
      </c>
      <c r="N7" s="1063">
        <v>100.97904993824932</v>
      </c>
      <c r="O7" s="1063">
        <v>100.23637232781211</v>
      </c>
      <c r="P7" s="1062">
        <v>99.998854537495916</v>
      </c>
      <c r="Q7" s="1062">
        <v>95.345883448166731</v>
      </c>
      <c r="R7" s="1062">
        <v>94.976900362090603</v>
      </c>
      <c r="S7" s="1062">
        <v>97.710092372579084</v>
      </c>
      <c r="T7" s="1062">
        <v>96.282620388310335</v>
      </c>
      <c r="U7" s="1063">
        <v>96.034036986020041</v>
      </c>
      <c r="V7" s="1062">
        <v>95.754145114862681</v>
      </c>
      <c r="W7" s="473"/>
    </row>
    <row r="8" spans="1:23" s="25" customFormat="1" ht="17.25" customHeight="1" x14ac:dyDescent="0.2">
      <c r="A8" s="758" t="s">
        <v>227</v>
      </c>
      <c r="B8" s="1102">
        <f>65+12.0302135418471</f>
        <v>77.030213541847104</v>
      </c>
      <c r="C8" s="1103">
        <f>65+12.1205381012993</f>
        <v>77.120538101299303</v>
      </c>
      <c r="D8" s="1066">
        <f>65+12.2984370708868</f>
        <v>77.298437070886806</v>
      </c>
      <c r="E8" s="1066">
        <f>65+11.7947769303632</f>
        <v>76.794776930363199</v>
      </c>
      <c r="F8" s="1066">
        <f>65+12.0739735978475</f>
        <v>77.073973597847498</v>
      </c>
      <c r="G8" s="1066">
        <f>65+12.1566506737593</f>
        <v>77.156650673759302</v>
      </c>
      <c r="H8" s="1066">
        <f>65+14.252790270226</f>
        <v>79.252790270226001</v>
      </c>
      <c r="I8" s="1066">
        <f>65+12.485957156582</f>
        <v>77.485957156582003</v>
      </c>
      <c r="J8" s="1066">
        <f>65+11.192790270226</f>
        <v>76.192790270225998</v>
      </c>
      <c r="K8" s="1066">
        <f>65+12.7776273911885</f>
        <v>77.777627391188503</v>
      </c>
      <c r="L8" s="1066">
        <f>65+13.2556257279307</f>
        <v>78.255625727930706</v>
      </c>
      <c r="M8" s="1066">
        <f>65+13.6799840070926</f>
        <v>78.6799840070926</v>
      </c>
      <c r="N8" s="1066">
        <f>65+11.9006257279307</f>
        <v>76.900625727930702</v>
      </c>
      <c r="O8" s="1066">
        <f>65+12.5477452466626</f>
        <v>77.5477452466626</v>
      </c>
      <c r="P8" s="1065">
        <f>65+11.5263568629752</f>
        <v>76.526356862975206</v>
      </c>
      <c r="Q8" s="1065">
        <f>65+11.7201477290917</f>
        <v>76.720147729091707</v>
      </c>
      <c r="R8" s="1065">
        <f>65+11.4658173404259</f>
        <v>76.4658173404259</v>
      </c>
      <c r="S8" s="1065">
        <f>65+11.9938237388333</f>
        <v>76.993823738833299</v>
      </c>
      <c r="T8" s="1065">
        <f>65+10.2131139818827</f>
        <v>75.213113981882699</v>
      </c>
      <c r="U8" s="1066">
        <f>65+10.3069421884397</f>
        <v>75.306942188439706</v>
      </c>
      <c r="V8" s="1065">
        <f>65+13.1040015539341</f>
        <v>78.104001553934097</v>
      </c>
      <c r="W8" s="473"/>
    </row>
    <row r="9" spans="1:23" s="500" customFormat="1" ht="17.25" customHeight="1" x14ac:dyDescent="0.2">
      <c r="A9" s="688" t="s">
        <v>355</v>
      </c>
      <c r="B9" s="761">
        <v>100</v>
      </c>
      <c r="C9" s="762">
        <v>97.689288256822834</v>
      </c>
      <c r="D9" s="764">
        <v>101.09683107119277</v>
      </c>
      <c r="E9" s="764">
        <v>97.806760797063049</v>
      </c>
      <c r="F9" s="764">
        <v>98.936724389872751</v>
      </c>
      <c r="G9" s="764">
        <v>97.262784725613898</v>
      </c>
      <c r="H9" s="764">
        <v>100.42757896420746</v>
      </c>
      <c r="I9" s="764">
        <v>94.45680381515902</v>
      </c>
      <c r="J9" s="764">
        <v>100.9559736604112</v>
      </c>
      <c r="K9" s="764">
        <v>100.10986331128439</v>
      </c>
      <c r="L9" s="764">
        <v>103.30296885609579</v>
      </c>
      <c r="M9" s="764">
        <v>104.80068115488697</v>
      </c>
      <c r="N9" s="764">
        <v>100.58329840509634</v>
      </c>
      <c r="O9" s="764">
        <v>100.7026982501722</v>
      </c>
      <c r="P9" s="981">
        <v>97.821846272429468</v>
      </c>
      <c r="Q9" s="981">
        <v>94.770676993384498</v>
      </c>
      <c r="R9" s="981">
        <v>95.70349962699629</v>
      </c>
      <c r="S9" s="981">
        <v>98.207862153203038</v>
      </c>
      <c r="T9" s="981">
        <v>94.236901980340008</v>
      </c>
      <c r="U9" s="764">
        <v>94.044100923734064</v>
      </c>
      <c r="V9" s="981">
        <v>96.705770034200228</v>
      </c>
      <c r="W9" s="989"/>
    </row>
    <row r="10" spans="1:23" s="25" customFormat="1" ht="17.25" customHeight="1" x14ac:dyDescent="0.2">
      <c r="A10" s="427" t="s">
        <v>14</v>
      </c>
      <c r="B10" s="209"/>
      <c r="C10" s="428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73"/>
    </row>
    <row r="11" spans="1:23" s="25" customFormat="1" ht="17.25" customHeight="1" x14ac:dyDescent="0.2">
      <c r="A11" s="441" t="s">
        <v>296</v>
      </c>
      <c r="B11" s="1104">
        <v>100</v>
      </c>
      <c r="C11" s="1105">
        <v>102.31749476764961</v>
      </c>
      <c r="D11" s="1071">
        <v>105.64150541062841</v>
      </c>
      <c r="E11" s="1071">
        <v>101.20225532905066</v>
      </c>
      <c r="F11" s="1071">
        <v>106.61736544677318</v>
      </c>
      <c r="G11" s="1071">
        <v>100.09834401236417</v>
      </c>
      <c r="H11" s="1071">
        <v>99.236385915488839</v>
      </c>
      <c r="I11" s="1071">
        <v>101.06963137333197</v>
      </c>
      <c r="J11" s="1071">
        <v>102.68243176811242</v>
      </c>
      <c r="K11" s="1071">
        <v>98.523415149245267</v>
      </c>
      <c r="L11" s="1071">
        <v>101.19614367637354</v>
      </c>
      <c r="M11" s="1071">
        <v>103.89423979453656</v>
      </c>
      <c r="N11" s="1071">
        <v>100.30486109335713</v>
      </c>
      <c r="O11" s="1071">
        <v>100.30461942128431</v>
      </c>
      <c r="P11" s="1070">
        <v>103.31532145991508</v>
      </c>
      <c r="Q11" s="1070">
        <v>104.69561860629656</v>
      </c>
      <c r="R11" s="1070">
        <v>102.34125450183045</v>
      </c>
      <c r="S11" s="1070">
        <v>99.297206176356397</v>
      </c>
      <c r="T11" s="1070">
        <v>102.61666888467894</v>
      </c>
      <c r="U11" s="1071">
        <v>99.907782608464473</v>
      </c>
      <c r="V11" s="1070">
        <v>97.645167582508421</v>
      </c>
      <c r="W11" s="473"/>
    </row>
    <row r="12" spans="1:23" s="25" customFormat="1" ht="27" customHeight="1" x14ac:dyDescent="0.2">
      <c r="A12" s="244" t="s">
        <v>356</v>
      </c>
      <c r="B12" s="772">
        <v>100</v>
      </c>
      <c r="C12" s="762">
        <v>101.84836034374945</v>
      </c>
      <c r="D12" s="764">
        <v>101.75215593866794</v>
      </c>
      <c r="E12" s="764">
        <v>101.41680769497218</v>
      </c>
      <c r="F12" s="764">
        <v>105.99026515991105</v>
      </c>
      <c r="G12" s="764">
        <v>99.549994431348779</v>
      </c>
      <c r="H12" s="764">
        <v>100.87168124818423</v>
      </c>
      <c r="I12" s="764">
        <v>102.03881629871591</v>
      </c>
      <c r="J12" s="764">
        <v>101.10015597753333</v>
      </c>
      <c r="K12" s="764">
        <v>97.2500562868088</v>
      </c>
      <c r="L12" s="764">
        <v>101.3173824498558</v>
      </c>
      <c r="M12" s="764">
        <v>102.67784964748617</v>
      </c>
      <c r="N12" s="764">
        <v>99.43715770390105</v>
      </c>
      <c r="O12" s="764">
        <v>99.602030865967563</v>
      </c>
      <c r="P12" s="1141">
        <v>102.94783710285644</v>
      </c>
      <c r="Q12" s="1141">
        <v>106.25115846802771</v>
      </c>
      <c r="R12" s="981">
        <v>103.95454079852348</v>
      </c>
      <c r="S12" s="981">
        <v>98.613974220311206</v>
      </c>
      <c r="T12" s="1141">
        <v>103.34574959928101</v>
      </c>
      <c r="U12" s="764">
        <v>97.842641238772373</v>
      </c>
      <c r="V12" s="981">
        <v>98.332553792573222</v>
      </c>
      <c r="W12" s="473"/>
    </row>
    <row r="13" spans="1:23" s="25" customFormat="1" ht="18" customHeight="1" x14ac:dyDescent="0.2">
      <c r="A13" s="441" t="s">
        <v>297</v>
      </c>
      <c r="B13" s="1104">
        <v>100</v>
      </c>
      <c r="C13" s="1105">
        <v>99.542622555604041</v>
      </c>
      <c r="D13" s="1071">
        <v>103.22814728126164</v>
      </c>
      <c r="E13" s="1071">
        <v>98.623473326216654</v>
      </c>
      <c r="F13" s="1071">
        <v>104.13986726431604</v>
      </c>
      <c r="G13" s="1071">
        <v>101.48542482011774</v>
      </c>
      <c r="H13" s="1071">
        <v>100.70067340014904</v>
      </c>
      <c r="I13" s="1071">
        <v>96.9320431934201</v>
      </c>
      <c r="J13" s="1071">
        <v>101.34160983831377</v>
      </c>
      <c r="K13" s="1074">
        <v>94.629853712623571</v>
      </c>
      <c r="L13" s="1071">
        <v>98.088225526451723</v>
      </c>
      <c r="M13" s="764">
        <v>98.959963165382817</v>
      </c>
      <c r="N13" s="764">
        <v>98.938107243458163</v>
      </c>
      <c r="O13" s="1071">
        <v>99.742934668093056</v>
      </c>
      <c r="P13" s="1070">
        <v>99.456961354184386</v>
      </c>
      <c r="Q13" s="1070">
        <v>98.324184372707904</v>
      </c>
      <c r="R13" s="1070">
        <v>101.06098385904654</v>
      </c>
      <c r="S13" s="1070">
        <v>99.136513145749291</v>
      </c>
      <c r="T13" s="1070">
        <v>100.07800562688294</v>
      </c>
      <c r="U13" s="1071">
        <v>100.43861688315751</v>
      </c>
      <c r="V13" s="1070">
        <v>93.118058132570255</v>
      </c>
      <c r="W13" s="473"/>
    </row>
    <row r="14" spans="1:23" s="25" customFormat="1" ht="18" customHeight="1" x14ac:dyDescent="0.2">
      <c r="A14" s="447" t="s">
        <v>341</v>
      </c>
      <c r="B14" s="1106">
        <v>100</v>
      </c>
      <c r="C14" s="1142">
        <v>100.92865548042056</v>
      </c>
      <c r="D14" s="1075">
        <v>104.29002485818302</v>
      </c>
      <c r="E14" s="1075">
        <v>100.10822660057563</v>
      </c>
      <c r="F14" s="1075">
        <v>105.48184544648034</v>
      </c>
      <c r="G14" s="1075">
        <v>100.62675574865122</v>
      </c>
      <c r="H14" s="1075">
        <v>99.968529657818934</v>
      </c>
      <c r="I14" s="1075">
        <v>98.910889714247517</v>
      </c>
      <c r="J14" s="1075">
        <v>102.01202080321309</v>
      </c>
      <c r="K14" s="1075">
        <v>97.378250020827124</v>
      </c>
      <c r="L14" s="1075">
        <v>99.500915594598013</v>
      </c>
      <c r="M14" s="1075">
        <v>102.01451536438275</v>
      </c>
      <c r="N14" s="1075">
        <v>99.559358993412246</v>
      </c>
      <c r="O14" s="1075">
        <v>100.05243443005558</v>
      </c>
      <c r="P14" s="1075">
        <v>101.51475341057409</v>
      </c>
      <c r="Q14" s="1075">
        <v>101.637330174174</v>
      </c>
      <c r="R14" s="1075">
        <v>101.85353235219849</v>
      </c>
      <c r="S14" s="1075">
        <v>99.249943520295474</v>
      </c>
      <c r="T14" s="1075">
        <v>101.34733725578094</v>
      </c>
      <c r="U14" s="1075">
        <v>100.16056083450877</v>
      </c>
      <c r="V14" s="1075">
        <v>95.489401177775946</v>
      </c>
      <c r="W14" s="473"/>
    </row>
    <row r="15" spans="1:23" s="25" customFormat="1" ht="17.25" customHeight="1" x14ac:dyDescent="0.2">
      <c r="A15" s="455" t="s">
        <v>15</v>
      </c>
      <c r="B15" s="1108"/>
      <c r="C15" s="1109"/>
      <c r="D15" s="429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73"/>
    </row>
    <row r="16" spans="1:23" s="25" customFormat="1" ht="17.25" customHeight="1" x14ac:dyDescent="0.2">
      <c r="A16" s="302" t="s">
        <v>285</v>
      </c>
      <c r="B16" s="1106">
        <v>65.91005350585236</v>
      </c>
      <c r="C16" s="1110">
        <v>61.487153198547084</v>
      </c>
      <c r="D16" s="1074">
        <v>60.348537403216703</v>
      </c>
      <c r="E16" s="1074">
        <v>62.019317994438865</v>
      </c>
      <c r="F16" s="1074">
        <v>63.447139644035893</v>
      </c>
      <c r="G16" s="1074">
        <v>65.451589652845783</v>
      </c>
      <c r="H16" s="1074">
        <v>55.988817458040252</v>
      </c>
      <c r="I16" s="1074">
        <v>64.110641098950651</v>
      </c>
      <c r="J16" s="1074">
        <v>69.722150791373593</v>
      </c>
      <c r="K16" s="1074">
        <v>65.194302591202685</v>
      </c>
      <c r="L16" s="1074">
        <v>62.910798235753838</v>
      </c>
      <c r="M16" s="1074">
        <v>63.587672986179136</v>
      </c>
      <c r="N16" s="1074">
        <v>62.03029823575384</v>
      </c>
      <c r="O16" s="1074">
        <v>60.737719627131213</v>
      </c>
      <c r="P16" s="1073">
        <v>58.085556515419839</v>
      </c>
      <c r="Q16" s="1073">
        <v>60.175731391802891</v>
      </c>
      <c r="R16" s="1073">
        <v>61.82658965284579</v>
      </c>
      <c r="S16" s="1073">
        <v>65.652914489577611</v>
      </c>
      <c r="T16" s="1073">
        <v>60.027557361924096</v>
      </c>
      <c r="U16" s="1074">
        <v>63.091193320635334</v>
      </c>
      <c r="V16" s="1073">
        <v>60.25132405602394</v>
      </c>
      <c r="W16" s="473"/>
    </row>
    <row r="17" spans="1:30" s="185" customFormat="1" ht="17.25" customHeight="1" x14ac:dyDescent="0.2">
      <c r="A17" s="302" t="s">
        <v>286</v>
      </c>
      <c r="B17" s="1104">
        <v>63.401387231506412</v>
      </c>
      <c r="C17" s="1105">
        <v>58.853185260483784</v>
      </c>
      <c r="D17" s="1079">
        <v>58.17372263749003</v>
      </c>
      <c r="E17" s="1079">
        <v>61.903795336202649</v>
      </c>
      <c r="F17" s="1079">
        <v>60.377902430795608</v>
      </c>
      <c r="G17" s="1079">
        <v>63.368920397469864</v>
      </c>
      <c r="H17" s="1079">
        <v>57.460681886230986</v>
      </c>
      <c r="I17" s="1079">
        <v>61.817404584663961</v>
      </c>
      <c r="J17" s="1079">
        <v>64.905181886230991</v>
      </c>
      <c r="K17" s="1079">
        <v>62.324557477171737</v>
      </c>
      <c r="L17" s="1079">
        <v>63.793092935900191</v>
      </c>
      <c r="M17" s="1079">
        <v>58.187848251810266</v>
      </c>
      <c r="N17" s="1079">
        <v>64.124592935900196</v>
      </c>
      <c r="O17" s="1071">
        <v>58.561500968444626</v>
      </c>
      <c r="P17" s="1073">
        <v>57.741604780895003</v>
      </c>
      <c r="Q17" s="1078">
        <v>55.488537386168701</v>
      </c>
      <c r="R17" s="1078">
        <v>59.034845248637403</v>
      </c>
      <c r="S17" s="1078">
        <v>59.33812908973519</v>
      </c>
      <c r="T17" s="1078">
        <v>59.714229607081187</v>
      </c>
      <c r="U17" s="1079">
        <v>62.781803127912454</v>
      </c>
      <c r="V17" s="1070">
        <v>54.481892561206294</v>
      </c>
      <c r="W17" s="473"/>
      <c r="X17" s="25"/>
      <c r="Y17" s="25"/>
      <c r="Z17" s="25"/>
      <c r="AA17" s="25"/>
      <c r="AB17" s="25"/>
      <c r="AC17" s="25"/>
      <c r="AD17" s="25"/>
    </row>
    <row r="18" spans="1:30" s="25" customFormat="1" ht="17.25" customHeight="1" x14ac:dyDescent="0.2">
      <c r="A18" s="736" t="s">
        <v>290</v>
      </c>
      <c r="B18" s="1143">
        <v>6.2722341348322281</v>
      </c>
      <c r="C18" s="1112">
        <v>5.5750904269850823</v>
      </c>
      <c r="D18" s="1140">
        <v>5.4219211696328742</v>
      </c>
      <c r="E18" s="1140">
        <v>5.8529241298258068</v>
      </c>
      <c r="F18" s="1140">
        <v>5.8547931339643338</v>
      </c>
      <c r="G18" s="1140">
        <v>6.2625616413824403</v>
      </c>
      <c r="H18" s="1113">
        <v>5.0429738243449531</v>
      </c>
      <c r="I18" s="1140">
        <v>5.9992392455492887</v>
      </c>
      <c r="J18" s="1113">
        <v>6.6789614493449534</v>
      </c>
      <c r="K18" s="1140">
        <v>6.1931713145844647</v>
      </c>
      <c r="L18" s="1140">
        <v>6.0668755930102733</v>
      </c>
      <c r="M18" s="1140">
        <v>5.7695863077806813</v>
      </c>
      <c r="N18" s="1140">
        <v>6.0244653430102737</v>
      </c>
      <c r="O18" s="1140">
        <v>5.505595401096544</v>
      </c>
      <c r="P18" s="1113">
        <v>5.2284195615731246</v>
      </c>
      <c r="Q18" s="1144">
        <v>5.2285481925757153</v>
      </c>
      <c r="R18" s="1081">
        <v>5.6586782971845953</v>
      </c>
      <c r="S18" s="1081">
        <v>6.0739344513984364</v>
      </c>
      <c r="T18" s="1081">
        <v>5.5268526279864201</v>
      </c>
      <c r="U18" s="1082">
        <v>6.002688975650317</v>
      </c>
      <c r="V18" s="1144">
        <v>5.1421409836810348</v>
      </c>
      <c r="W18" s="473"/>
    </row>
    <row r="19" spans="1:30" s="185" customFormat="1" ht="17.25" customHeight="1" x14ac:dyDescent="0.2">
      <c r="A19" s="437" t="s">
        <v>12</v>
      </c>
      <c r="B19" s="1114"/>
      <c r="C19" s="1115"/>
      <c r="D19" s="1085"/>
      <c r="E19" s="1085"/>
      <c r="F19" s="1085"/>
      <c r="G19" s="1085"/>
      <c r="H19" s="1085"/>
      <c r="I19" s="1085"/>
      <c r="J19" s="1085"/>
      <c r="K19" s="1085"/>
      <c r="L19" s="1085"/>
      <c r="M19" s="1085"/>
      <c r="N19" s="1085"/>
      <c r="O19" s="1085"/>
      <c r="P19" s="1085"/>
      <c r="Q19" s="1085"/>
      <c r="R19" s="1085"/>
      <c r="S19" s="1085"/>
      <c r="T19" s="1085"/>
      <c r="U19" s="1085"/>
      <c r="V19" s="1145"/>
      <c r="W19" s="473"/>
      <c r="X19" s="25"/>
      <c r="Y19" s="25"/>
      <c r="Z19" s="25"/>
      <c r="AA19" s="25"/>
      <c r="AB19" s="25"/>
      <c r="AC19" s="25"/>
      <c r="AD19" s="25"/>
    </row>
    <row r="20" spans="1:30" s="25" customFormat="1" ht="17.25" customHeight="1" x14ac:dyDescent="0.2">
      <c r="A20" s="430" t="s">
        <v>298</v>
      </c>
      <c r="B20" s="1100">
        <v>100</v>
      </c>
      <c r="C20" s="1101">
        <v>94.451438575660021</v>
      </c>
      <c r="D20" s="1063">
        <v>102.17759214769298</v>
      </c>
      <c r="E20" s="1063">
        <v>101.23917987908742</v>
      </c>
      <c r="F20" s="1063">
        <v>103.7194492184388</v>
      </c>
      <c r="G20" s="1063">
        <v>103.29355756832483</v>
      </c>
      <c r="H20" s="1063">
        <v>92.921696486114186</v>
      </c>
      <c r="I20" s="1063">
        <v>94.110676276297198</v>
      </c>
      <c r="J20" s="1063">
        <v>93.544992788787141</v>
      </c>
      <c r="K20" s="1063">
        <v>110.52871972968158</v>
      </c>
      <c r="L20" s="1063">
        <v>97.347245477320484</v>
      </c>
      <c r="M20" s="1063">
        <v>105.02178822573615</v>
      </c>
      <c r="N20" s="1063">
        <v>96.086487046913831</v>
      </c>
      <c r="O20" s="1063">
        <v>88.760485785561428</v>
      </c>
      <c r="P20" s="1062">
        <v>89.62647562700937</v>
      </c>
      <c r="Q20" s="1062">
        <v>85.853428558122673</v>
      </c>
      <c r="R20" s="1062">
        <v>86.719542247249038</v>
      </c>
      <c r="S20" s="1062">
        <v>88.868425201933491</v>
      </c>
      <c r="T20" s="1062">
        <v>91.922076797980736</v>
      </c>
      <c r="U20" s="1063">
        <v>77.578750227559041</v>
      </c>
      <c r="V20" s="1062">
        <v>86.018351227988958</v>
      </c>
      <c r="W20" s="473"/>
    </row>
    <row r="21" spans="1:30" s="185" customFormat="1" ht="17.25" customHeight="1" x14ac:dyDescent="0.2">
      <c r="A21" s="441" t="s">
        <v>299</v>
      </c>
      <c r="B21" s="1104">
        <v>100</v>
      </c>
      <c r="C21" s="1105">
        <v>99.048440342343198</v>
      </c>
      <c r="D21" s="1071">
        <v>103.66841820873145</v>
      </c>
      <c r="E21" s="1071">
        <v>103.69576873324834</v>
      </c>
      <c r="F21" s="1071">
        <v>104.78368910346315</v>
      </c>
      <c r="G21" s="1071">
        <v>103.48053515916384</v>
      </c>
      <c r="H21" s="1071">
        <v>103.84218316266561</v>
      </c>
      <c r="I21" s="1071">
        <v>101.7777878421191</v>
      </c>
      <c r="J21" s="1071">
        <v>103.34380240865818</v>
      </c>
      <c r="K21" s="1071">
        <v>103.41413978691803</v>
      </c>
      <c r="L21" s="1071">
        <v>102.5378847071573</v>
      </c>
      <c r="M21" s="1071">
        <v>104.71904852546581</v>
      </c>
      <c r="N21" s="1071">
        <v>98.193789776704619</v>
      </c>
      <c r="O21" s="1071">
        <v>92.733564559575512</v>
      </c>
      <c r="P21" s="1070">
        <v>96.618606744394725</v>
      </c>
      <c r="Q21" s="1070">
        <v>92.269350332206244</v>
      </c>
      <c r="R21" s="1070">
        <v>90.987542974754177</v>
      </c>
      <c r="S21" s="1070">
        <v>92.154804367279709</v>
      </c>
      <c r="T21" s="1070">
        <v>97.602648147972502</v>
      </c>
      <c r="U21" s="1071">
        <v>87.884500649870787</v>
      </c>
      <c r="V21" s="1070">
        <v>93.724534192197467</v>
      </c>
      <c r="W21" s="473"/>
      <c r="X21" s="25"/>
      <c r="Y21" s="25"/>
      <c r="Z21" s="25"/>
      <c r="AA21" s="25"/>
      <c r="AB21" s="25"/>
      <c r="AC21" s="25"/>
      <c r="AD21" s="25"/>
    </row>
    <row r="22" spans="1:30" s="185" customFormat="1" ht="17.25" customHeight="1" x14ac:dyDescent="0.2">
      <c r="A22" s="441" t="s">
        <v>360</v>
      </c>
      <c r="B22" s="1104">
        <v>100</v>
      </c>
      <c r="C22" s="1105">
        <v>99.431128791392979</v>
      </c>
      <c r="D22" s="1071">
        <v>98.652801542444891</v>
      </c>
      <c r="E22" s="1071">
        <v>97.687638999309243</v>
      </c>
      <c r="F22" s="1071">
        <v>98.04879097780649</v>
      </c>
      <c r="G22" s="1071">
        <v>95.266995047262384</v>
      </c>
      <c r="H22" s="1071">
        <v>96.413226163556459</v>
      </c>
      <c r="I22" s="1071">
        <v>95.951795305527668</v>
      </c>
      <c r="J22" s="1071">
        <v>101.98631240809841</v>
      </c>
      <c r="K22" s="1071">
        <v>93.384434157859644</v>
      </c>
      <c r="L22" s="1071">
        <v>103.34920308009845</v>
      </c>
      <c r="M22" s="1071">
        <v>103.08661479893719</v>
      </c>
      <c r="N22" s="1071">
        <v>103.2697211454028</v>
      </c>
      <c r="O22" s="1071">
        <v>104.59149119600271</v>
      </c>
      <c r="P22" s="1070">
        <v>105.77523172329812</v>
      </c>
      <c r="Q22" s="1070">
        <v>97.697915901031052</v>
      </c>
      <c r="R22" s="1070">
        <v>99.437458914822287</v>
      </c>
      <c r="S22" s="1070">
        <v>100.09773641554277</v>
      </c>
      <c r="T22" s="1070">
        <v>100.12264364825616</v>
      </c>
      <c r="U22" s="1071">
        <v>101.82331494106631</v>
      </c>
      <c r="V22" s="1070">
        <v>99.219250078319988</v>
      </c>
      <c r="W22" s="473"/>
      <c r="X22" s="25"/>
      <c r="Y22" s="25"/>
      <c r="Z22" s="25"/>
      <c r="AA22" s="25"/>
      <c r="AB22" s="25"/>
      <c r="AC22" s="25"/>
      <c r="AD22" s="25"/>
    </row>
    <row r="23" spans="1:30" s="185" customFormat="1" ht="17.25" customHeight="1" x14ac:dyDescent="0.2">
      <c r="A23" s="441" t="s">
        <v>361</v>
      </c>
      <c r="B23" s="1104">
        <v>100</v>
      </c>
      <c r="C23" s="1105">
        <v>95.553469742906955</v>
      </c>
      <c r="D23" s="1071">
        <v>101.86236507694763</v>
      </c>
      <c r="E23" s="1071">
        <v>94.392403151462418</v>
      </c>
      <c r="F23" s="1071">
        <v>96.68520355433003</v>
      </c>
      <c r="G23" s="1071">
        <v>94.084642238955837</v>
      </c>
      <c r="H23" s="1071">
        <v>97.816909111533292</v>
      </c>
      <c r="I23" s="1071">
        <v>86.775193620949494</v>
      </c>
      <c r="J23" s="1071">
        <v>102.26470484325328</v>
      </c>
      <c r="K23" s="1071">
        <v>100.29835582651197</v>
      </c>
      <c r="L23" s="1071">
        <v>98.692529485479454</v>
      </c>
      <c r="M23" s="1071">
        <v>103.83961606353931</v>
      </c>
      <c r="N23" s="1071">
        <v>99.059899044441565</v>
      </c>
      <c r="O23" s="1071">
        <v>101.40379548227995</v>
      </c>
      <c r="P23" s="1070">
        <v>98.118532758340535</v>
      </c>
      <c r="Q23" s="1070">
        <v>97.281572136930635</v>
      </c>
      <c r="R23" s="1070">
        <v>91.050563292170452</v>
      </c>
      <c r="S23" s="1070">
        <v>99.727935886330329</v>
      </c>
      <c r="T23" s="1070">
        <v>93.35277924188388</v>
      </c>
      <c r="U23" s="1071">
        <v>97.521787398766918</v>
      </c>
      <c r="V23" s="1070">
        <v>93.241481481050684</v>
      </c>
      <c r="W23" s="473"/>
      <c r="X23" s="25"/>
      <c r="Y23" s="25"/>
      <c r="Z23" s="25"/>
      <c r="AA23" s="25"/>
      <c r="AB23" s="25"/>
      <c r="AC23" s="25"/>
      <c r="AD23" s="25"/>
    </row>
    <row r="24" spans="1:30" s="185" customFormat="1" ht="17.25" customHeight="1" x14ac:dyDescent="0.2">
      <c r="A24" s="441" t="s">
        <v>300</v>
      </c>
      <c r="B24" s="1106">
        <v>100</v>
      </c>
      <c r="C24" s="1110">
        <v>94.487287059215831</v>
      </c>
      <c r="D24" s="1074">
        <v>97.929507810175465</v>
      </c>
      <c r="E24" s="1074">
        <v>96.755882288991472</v>
      </c>
      <c r="F24" s="1074">
        <v>96.059499160864334</v>
      </c>
      <c r="G24" s="1074">
        <v>98.224351938102075</v>
      </c>
      <c r="H24" s="1074">
        <v>91.919963711878651</v>
      </c>
      <c r="I24" s="1074">
        <v>89.223378235602794</v>
      </c>
      <c r="J24" s="1074">
        <v>101.8478133964194</v>
      </c>
      <c r="K24" s="1074">
        <v>103.49773492655564</v>
      </c>
      <c r="L24" s="1074">
        <v>103.11183840798257</v>
      </c>
      <c r="M24" s="1074">
        <v>106.37153084021398</v>
      </c>
      <c r="N24" s="1074">
        <v>102.82115812332556</v>
      </c>
      <c r="O24" s="1074">
        <v>99.043858551722735</v>
      </c>
      <c r="P24" s="1073">
        <v>94.384805613850034</v>
      </c>
      <c r="Q24" s="1073">
        <v>90.378700531006885</v>
      </c>
      <c r="R24" s="1073">
        <v>96.846161495658322</v>
      </c>
      <c r="S24" s="1073">
        <v>96.863565736054795</v>
      </c>
      <c r="T24" s="1073">
        <v>89.926345951446777</v>
      </c>
      <c r="U24" s="1074">
        <v>91.833840077100746</v>
      </c>
      <c r="V24" s="1073">
        <v>94.74113264548285</v>
      </c>
      <c r="W24" s="473"/>
      <c r="X24" s="25"/>
      <c r="Y24" s="25"/>
      <c r="Z24" s="25"/>
      <c r="AA24" s="25"/>
      <c r="AB24" s="25"/>
      <c r="AC24" s="25"/>
      <c r="AD24" s="25"/>
    </row>
    <row r="25" spans="1:30" s="185" customFormat="1" ht="15" customHeight="1" x14ac:dyDescent="0.2">
      <c r="A25" s="449" t="s">
        <v>25</v>
      </c>
      <c r="B25" s="1119"/>
      <c r="C25" s="1120"/>
      <c r="D25" s="1086"/>
      <c r="E25" s="1086"/>
      <c r="F25" s="1086"/>
      <c r="G25" s="1086"/>
      <c r="H25" s="1086"/>
      <c r="I25" s="1086"/>
      <c r="J25" s="1086"/>
      <c r="K25" s="1086"/>
      <c r="L25" s="1086"/>
      <c r="M25" s="1086"/>
      <c r="N25" s="1086"/>
      <c r="O25" s="1086"/>
      <c r="P25" s="1086"/>
      <c r="Q25" s="1086"/>
      <c r="R25" s="1086"/>
      <c r="S25" s="1086"/>
      <c r="T25" s="1086"/>
      <c r="U25" s="1086"/>
      <c r="V25" s="1086"/>
      <c r="W25" s="473"/>
      <c r="X25" s="25"/>
      <c r="Y25" s="25"/>
      <c r="Z25" s="25"/>
      <c r="AA25" s="25"/>
      <c r="AB25" s="25"/>
      <c r="AC25" s="25"/>
      <c r="AD25" s="25"/>
    </row>
    <row r="26" spans="1:30" s="185" customFormat="1" ht="17.25" customHeight="1" x14ac:dyDescent="0.2">
      <c r="A26" s="430" t="s">
        <v>301</v>
      </c>
      <c r="B26" s="1100">
        <v>100</v>
      </c>
      <c r="C26" s="1101">
        <v>104.18559108301248</v>
      </c>
      <c r="D26" s="1063">
        <v>107.92828325416599</v>
      </c>
      <c r="E26" s="1063">
        <v>107.5782546405905</v>
      </c>
      <c r="F26" s="1063">
        <v>114.65494440415962</v>
      </c>
      <c r="G26" s="1063">
        <v>102.91861149160685</v>
      </c>
      <c r="H26" s="1063">
        <v>101.43281293386659</v>
      </c>
      <c r="I26" s="1063">
        <v>106.35715350327588</v>
      </c>
      <c r="J26" s="1063">
        <v>101.41411459090773</v>
      </c>
      <c r="K26" s="1063">
        <v>98.646656479577373</v>
      </c>
      <c r="L26" s="1063">
        <v>102.08090625173094</v>
      </c>
      <c r="M26" s="1063">
        <v>101.19449513010316</v>
      </c>
      <c r="N26" s="1063">
        <v>101.00151158324473</v>
      </c>
      <c r="O26" s="1063">
        <v>94.890595903783321</v>
      </c>
      <c r="P26" s="1062">
        <v>104.43202596087787</v>
      </c>
      <c r="Q26" s="1062">
        <v>107.45489431945616</v>
      </c>
      <c r="R26" s="1062">
        <v>105.70604450161865</v>
      </c>
      <c r="S26" s="1062">
        <v>97.300041556849038</v>
      </c>
      <c r="T26" s="1062">
        <v>103.58528695422156</v>
      </c>
      <c r="U26" s="1063">
        <v>96.780192605221373</v>
      </c>
      <c r="V26" s="1062">
        <v>97.697282478468622</v>
      </c>
      <c r="W26" s="473"/>
      <c r="X26" s="25"/>
      <c r="Y26" s="25"/>
      <c r="Z26" s="25"/>
      <c r="AA26" s="25"/>
      <c r="AB26" s="25"/>
      <c r="AC26" s="25"/>
      <c r="AD26" s="25"/>
    </row>
    <row r="27" spans="1:30" s="472" customFormat="1" ht="17.25" customHeight="1" x14ac:dyDescent="0.2">
      <c r="A27" s="758" t="s">
        <v>226</v>
      </c>
      <c r="B27" s="1122">
        <f>65+6.80750321321837</f>
        <v>71.807503213218368</v>
      </c>
      <c r="C27" s="1103">
        <f>65+7.88557838390278</f>
        <v>72.885578383902782</v>
      </c>
      <c r="D27" s="1066">
        <f>65+5.60891401499951</f>
        <v>70.608914014999513</v>
      </c>
      <c r="E27" s="1066">
        <f>65+7.16591500587174</f>
        <v>72.165915005871739</v>
      </c>
      <c r="F27" s="1066">
        <f>65+5.72386113688482</f>
        <v>70.723861136884821</v>
      </c>
      <c r="G27" s="1066">
        <f>65+7.91247241596517</f>
        <v>72.912472415965169</v>
      </c>
      <c r="H27" s="1066">
        <f>65+8.4181212892354</f>
        <v>73.418121289235401</v>
      </c>
      <c r="I27" s="1066">
        <f>65+7.82753285878123</f>
        <v>72.827532858781225</v>
      </c>
      <c r="J27" s="1066">
        <f>65+7.32613205095268</f>
        <v>72.32613205095268</v>
      </c>
      <c r="K27" s="1066">
        <f>65+8.05871241412932</f>
        <v>73.058712414129317</v>
      </c>
      <c r="L27" s="1066">
        <f>65+8.19908923646109</f>
        <v>73.199089236461091</v>
      </c>
      <c r="M27" s="1066">
        <f>65+9.4497183965818</f>
        <v>74.449718396581801</v>
      </c>
      <c r="N27" s="1066">
        <f>65+7.69914602417509</f>
        <v>72.699146024175093</v>
      </c>
      <c r="O27" s="1066">
        <f>65+10.0269371356109</f>
        <v>75.026937135610893</v>
      </c>
      <c r="P27" s="1065">
        <f>65+8.20761618422762</f>
        <v>73.207616184227618</v>
      </c>
      <c r="Q27" s="1065">
        <f>65+8.31413946026393</f>
        <v>73.314139460263931</v>
      </c>
      <c r="R27" s="1065">
        <f>65+8.1341888337958</f>
        <v>73.134188833795804</v>
      </c>
      <c r="S27" s="1065">
        <f>65+8.9593370873925</f>
        <v>73.959337087392498</v>
      </c>
      <c r="T27" s="1065">
        <f>65+8.4352673730308</f>
        <v>73.435267373030797</v>
      </c>
      <c r="U27" s="1066">
        <f>65+7.61199052764864</f>
        <v>72.611990527648643</v>
      </c>
      <c r="V27" s="1065">
        <f>65+9.69095778410946</f>
        <v>74.690957784109457</v>
      </c>
      <c r="W27" s="542"/>
      <c r="X27" s="376"/>
      <c r="Y27" s="426"/>
      <c r="Z27" s="376"/>
      <c r="AA27" s="376"/>
      <c r="AB27" s="376"/>
      <c r="AC27" s="376"/>
      <c r="AD27" s="376"/>
    </row>
    <row r="28" spans="1:30" s="185" customFormat="1" ht="17.25" customHeight="1" x14ac:dyDescent="0.2">
      <c r="A28" s="441" t="s">
        <v>302</v>
      </c>
      <c r="B28" s="1104">
        <v>100</v>
      </c>
      <c r="C28" s="1105">
        <v>100.84547666221297</v>
      </c>
      <c r="D28" s="1071">
        <v>97.355781283211869</v>
      </c>
      <c r="E28" s="1071">
        <v>95.387901667672665</v>
      </c>
      <c r="F28" s="1071">
        <v>97.309310267378592</v>
      </c>
      <c r="G28" s="1071">
        <v>94.747459130353249</v>
      </c>
      <c r="H28" s="1071">
        <v>99.296285501900428</v>
      </c>
      <c r="I28" s="1071">
        <v>99.037485030367094</v>
      </c>
      <c r="J28" s="1071">
        <v>108.35235628855386</v>
      </c>
      <c r="K28" s="1071">
        <v>94.106838025387489</v>
      </c>
      <c r="L28" s="1071">
        <v>102.327519978276</v>
      </c>
      <c r="M28" s="1071">
        <v>101.09336183517964</v>
      </c>
      <c r="N28" s="1071">
        <v>98.269916588694613</v>
      </c>
      <c r="O28" s="1071">
        <v>105.66940639210453</v>
      </c>
      <c r="P28" s="1070">
        <v>105.1059745363528</v>
      </c>
      <c r="Q28" s="1070">
        <v>104.69992004831748</v>
      </c>
      <c r="R28" s="1070">
        <v>102.18255289998939</v>
      </c>
      <c r="S28" s="1070">
        <v>100.82764004122946</v>
      </c>
      <c r="T28" s="1070">
        <v>111.28281169346575</v>
      </c>
      <c r="U28" s="1071">
        <v>105.99034330860621</v>
      </c>
      <c r="V28" s="1070">
        <v>94.418065306750108</v>
      </c>
      <c r="W28" s="473"/>
      <c r="X28" s="25"/>
      <c r="Y28" s="25"/>
      <c r="Z28" s="25"/>
      <c r="AA28" s="25"/>
      <c r="AB28" s="25"/>
      <c r="AC28" s="25"/>
      <c r="AD28" s="25"/>
    </row>
    <row r="29" spans="1:30" s="25" customFormat="1" ht="17.25" customHeight="1" x14ac:dyDescent="0.2">
      <c r="A29" s="778" t="s">
        <v>228</v>
      </c>
      <c r="B29" s="1122">
        <f>65+7.93347031992596</f>
        <v>72.933470319925959</v>
      </c>
      <c r="C29" s="1103">
        <f>65+8.02164545723184</f>
        <v>73.021645457231841</v>
      </c>
      <c r="D29" s="1066">
        <f>65+9.27988124334715</f>
        <v>74.279881243347148</v>
      </c>
      <c r="E29" s="1066">
        <f>65+6.96067227503228</f>
        <v>71.96067227503228</v>
      </c>
      <c r="F29" s="1066">
        <f>65+8.12557815409544</f>
        <v>73.125578154095436</v>
      </c>
      <c r="G29" s="1066">
        <f>65+8.32988327772105</f>
        <v>73.329883277721052</v>
      </c>
      <c r="H29" s="1066">
        <f>65+8.52400787191725</f>
        <v>73.524007871917249</v>
      </c>
      <c r="I29" s="1066">
        <f>65+7.64534429767286</f>
        <v>72.645344297672864</v>
      </c>
      <c r="J29" s="1066">
        <f>65+5.08400787191722</f>
        <v>70.084007871917223</v>
      </c>
      <c r="K29" s="1066">
        <f>65+9.79376439092115</f>
        <v>74.793764390921154</v>
      </c>
      <c r="L29" s="1066">
        <f>65+7.38212007800199</f>
        <v>72.382120078001989</v>
      </c>
      <c r="M29" s="1066">
        <f>65+9.26459905129254</f>
        <v>74.264599051292535</v>
      </c>
      <c r="N29" s="1066">
        <f>65+8.13247239288449</f>
        <v>73.132472392884495</v>
      </c>
      <c r="O29" s="1066">
        <f>65+7.87178406794374</f>
        <v>72.871784067943736</v>
      </c>
      <c r="P29" s="1065">
        <f>65+5.65879359647181</f>
        <v>70.65879359647181</v>
      </c>
      <c r="Q29" s="1065">
        <f>65+6.79368653199484</f>
        <v>71.793686531994837</v>
      </c>
      <c r="R29" s="1065">
        <f>65+7.46568178463487</f>
        <v>72.465681784634867</v>
      </c>
      <c r="S29" s="1065">
        <f>65+8.43739766437993</f>
        <v>73.43739766437993</v>
      </c>
      <c r="T29" s="1065">
        <f>65+5.14504258381359</f>
        <v>70.145042583813591</v>
      </c>
      <c r="U29" s="1066">
        <f>65+6.07114776080627</f>
        <v>71.071147760806269</v>
      </c>
      <c r="V29" s="1065">
        <f>65+10.0626441622262</f>
        <v>75.062644162226206</v>
      </c>
      <c r="W29" s="990"/>
      <c r="X29" s="415"/>
    </row>
    <row r="30" spans="1:30" s="185" customFormat="1" ht="17.25" customHeight="1" x14ac:dyDescent="0.2">
      <c r="A30" s="441" t="s">
        <v>303</v>
      </c>
      <c r="B30" s="1104">
        <v>100</v>
      </c>
      <c r="C30" s="1105">
        <v>102.74650420368955</v>
      </c>
      <c r="D30" s="1071">
        <v>112.78303135750787</v>
      </c>
      <c r="E30" s="1071">
        <v>95.641860459622293</v>
      </c>
      <c r="F30" s="1071">
        <v>105.62855104259674</v>
      </c>
      <c r="G30" s="1071">
        <v>100.82935519888821</v>
      </c>
      <c r="H30" s="1071">
        <v>97.178693316372673</v>
      </c>
      <c r="I30" s="1071">
        <v>95.82411436521609</v>
      </c>
      <c r="J30" s="1071">
        <v>96.624328994732636</v>
      </c>
      <c r="K30" s="1071">
        <v>96.240092758838131</v>
      </c>
      <c r="L30" s="1071">
        <v>98.58904150683037</v>
      </c>
      <c r="M30" s="1071">
        <v>108.26659022973233</v>
      </c>
      <c r="N30" s="1071">
        <v>101.49463979578837</v>
      </c>
      <c r="O30" s="1071">
        <v>104.53605691343309</v>
      </c>
      <c r="P30" s="1070">
        <v>99.122741043224153</v>
      </c>
      <c r="Q30" s="1070">
        <v>102.56450530138228</v>
      </c>
      <c r="R30" s="1070">
        <v>99.983220181648235</v>
      </c>
      <c r="S30" s="1070">
        <v>103.50604301760818</v>
      </c>
      <c r="T30" s="1070">
        <v>96.689292080968244</v>
      </c>
      <c r="U30" s="1071">
        <v>105.96320160260355</v>
      </c>
      <c r="V30" s="1070">
        <v>101.0179794624154</v>
      </c>
      <c r="W30" s="473"/>
      <c r="X30" s="25"/>
      <c r="Y30" s="25"/>
      <c r="Z30" s="25"/>
      <c r="AA30" s="25"/>
      <c r="AB30" s="25"/>
      <c r="AC30" s="25"/>
      <c r="AD30" s="25"/>
    </row>
    <row r="31" spans="1:30" s="185" customFormat="1" ht="17.25" customHeight="1" x14ac:dyDescent="0.2">
      <c r="A31" s="454" t="s">
        <v>304</v>
      </c>
      <c r="B31" s="1123">
        <v>100</v>
      </c>
      <c r="C31" s="1146">
        <v>97.884525284971076</v>
      </c>
      <c r="D31" s="1093">
        <v>103.8074920936177</v>
      </c>
      <c r="E31" s="1093">
        <v>97.248503553241093</v>
      </c>
      <c r="F31" s="1093">
        <v>99.116180368834648</v>
      </c>
      <c r="G31" s="1093">
        <v>97.716439427658088</v>
      </c>
      <c r="H31" s="1093">
        <v>94.739858884698464</v>
      </c>
      <c r="I31" s="1093">
        <v>93.329284729355834</v>
      </c>
      <c r="J31" s="1093">
        <v>103.43809816950318</v>
      </c>
      <c r="K31" s="1093">
        <v>103.77234602321766</v>
      </c>
      <c r="L31" s="1093">
        <v>99.60905066978826</v>
      </c>
      <c r="M31" s="1093">
        <v>108.61446568635226</v>
      </c>
      <c r="N31" s="1093">
        <v>99.43890132510694</v>
      </c>
      <c r="O31" s="1093">
        <v>101.46252754423638</v>
      </c>
      <c r="P31" s="1147">
        <v>100.77805259967437</v>
      </c>
      <c r="Q31" s="1147">
        <v>99.120518166562931</v>
      </c>
      <c r="R31" s="1147">
        <v>95.432947689193881</v>
      </c>
      <c r="S31" s="1147">
        <v>96.558689729941392</v>
      </c>
      <c r="T31" s="1147">
        <v>92.551218572157168</v>
      </c>
      <c r="U31" s="1093">
        <v>93.143642530573132</v>
      </c>
      <c r="V31" s="1147">
        <v>97.050606534418236</v>
      </c>
      <c r="W31" s="473"/>
      <c r="X31" s="25"/>
      <c r="Y31" s="25"/>
      <c r="Z31" s="25"/>
      <c r="AA31" s="25"/>
      <c r="AB31" s="25"/>
      <c r="AC31" s="25"/>
      <c r="AD31" s="25"/>
    </row>
    <row r="32" spans="1:30" s="25" customFormat="1" ht="17.25" customHeight="1" x14ac:dyDescent="0.2">
      <c r="A32" s="455" t="s">
        <v>15</v>
      </c>
      <c r="B32" s="1108"/>
      <c r="C32" s="1109"/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73"/>
    </row>
    <row r="33" spans="1:30" s="25" customFormat="1" ht="17.25" customHeight="1" x14ac:dyDescent="0.2">
      <c r="A33" s="461" t="s">
        <v>294</v>
      </c>
      <c r="B33" s="1124">
        <v>7.0653158737759414</v>
      </c>
      <c r="C33" s="1125">
        <v>6.9103510498317595</v>
      </c>
      <c r="D33" s="1126">
        <v>7.189243312773244</v>
      </c>
      <c r="E33" s="1126">
        <v>7.0270057321313528</v>
      </c>
      <c r="F33" s="1126">
        <v>6.7745539579620475</v>
      </c>
      <c r="G33" s="1126">
        <v>7.1499377656345642</v>
      </c>
      <c r="H33" s="1126">
        <v>6.6870715475082818</v>
      </c>
      <c r="I33" s="1126">
        <v>6.951639729659842</v>
      </c>
      <c r="J33" s="1126">
        <v>6.7704048898795639</v>
      </c>
      <c r="K33" s="1126">
        <v>7.2391823180999859</v>
      </c>
      <c r="L33" s="1126">
        <v>6.7580806499007444</v>
      </c>
      <c r="M33" s="1126">
        <v>7.2749377656345642</v>
      </c>
      <c r="N33" s="1126">
        <v>7.0914139922720256</v>
      </c>
      <c r="O33" s="1126">
        <v>6.9796225108427024</v>
      </c>
      <c r="P33" s="1148">
        <v>6.4452063976794074</v>
      </c>
      <c r="Q33" s="1148">
        <v>6.9181993511005029</v>
      </c>
      <c r="R33" s="1148">
        <v>6.9936877656345624</v>
      </c>
      <c r="S33" s="1148">
        <v>7.1159694479117848</v>
      </c>
      <c r="T33" s="1148">
        <v>6.853023551492563</v>
      </c>
      <c r="U33" s="1126">
        <v>6.8013060003180739</v>
      </c>
      <c r="V33" s="1149">
        <v>6.7140232362601582</v>
      </c>
      <c r="W33" s="473"/>
    </row>
    <row r="34" spans="1:30" s="25" customFormat="1" ht="17.25" customHeight="1" x14ac:dyDescent="0.2">
      <c r="A34" s="455" t="s">
        <v>16</v>
      </c>
      <c r="B34" s="1108"/>
      <c r="C34" s="1109"/>
      <c r="D34" s="1077"/>
      <c r="E34" s="1077"/>
      <c r="F34" s="1077"/>
      <c r="G34" s="1077"/>
      <c r="H34" s="1077"/>
      <c r="I34" s="1077"/>
      <c r="J34" s="1077"/>
      <c r="K34" s="1077"/>
      <c r="L34" s="1077"/>
      <c r="M34" s="1077"/>
      <c r="N34" s="1077"/>
      <c r="O34" s="1077"/>
      <c r="P34" s="1077"/>
      <c r="Q34" s="1077"/>
      <c r="R34" s="1077"/>
      <c r="S34" s="1077"/>
      <c r="T34" s="1077"/>
      <c r="U34" s="1077"/>
      <c r="V34" s="1077"/>
      <c r="W34" s="473"/>
    </row>
    <row r="35" spans="1:30" s="25" customFormat="1" ht="17.25" customHeight="1" x14ac:dyDescent="0.2">
      <c r="A35" s="463" t="s">
        <v>6</v>
      </c>
      <c r="B35" s="1128">
        <v>5.3142878503785065</v>
      </c>
      <c r="C35" s="1129">
        <v>4.9277593915786939</v>
      </c>
      <c r="D35" s="1130">
        <v>2.2204712483831148</v>
      </c>
      <c r="E35" s="1130">
        <v>2.1732265739955894</v>
      </c>
      <c r="F35" s="1130">
        <v>6.0815354316010621</v>
      </c>
      <c r="G35" s="1130">
        <v>8.5991180610204552</v>
      </c>
      <c r="H35" s="1150">
        <v>4.1561251013264178</v>
      </c>
      <c r="I35" s="1130">
        <v>6.4331031401709966</v>
      </c>
      <c r="J35" s="1150">
        <v>5.7929444881636361</v>
      </c>
      <c r="K35" s="1130">
        <v>6.4331031401709966</v>
      </c>
      <c r="L35" s="1130">
        <v>4.1561251013264178</v>
      </c>
      <c r="M35" s="1130">
        <v>5.092686184218115</v>
      </c>
      <c r="N35" s="1150">
        <v>5.4822752619057873</v>
      </c>
      <c r="O35" s="1130">
        <v>2.2561219534306529</v>
      </c>
      <c r="P35" s="1151">
        <v>5.9469741104930005</v>
      </c>
      <c r="Q35" s="1151">
        <v>7.5000371317929231</v>
      </c>
      <c r="R35" s="1151">
        <v>6.3712413296386448</v>
      </c>
      <c r="S35" s="1151">
        <v>6.4331031401709966</v>
      </c>
      <c r="T35" s="1151">
        <v>5.9469741104930005</v>
      </c>
      <c r="U35" s="1130">
        <v>4.189416732245455</v>
      </c>
      <c r="V35" s="1151">
        <v>6.6283504653933374</v>
      </c>
      <c r="W35" s="473"/>
    </row>
    <row r="36" spans="1:30" s="25" customFormat="1" ht="17.25" customHeight="1" x14ac:dyDescent="0.2">
      <c r="A36" s="466" t="s">
        <v>7</v>
      </c>
      <c r="B36" s="1131">
        <v>5.5386407434438247</v>
      </c>
      <c r="C36" s="1129">
        <v>6.9058376836922681</v>
      </c>
      <c r="D36" s="1066">
        <v>7.2370000000000001</v>
      </c>
      <c r="E36" s="1066">
        <v>6.4451702796468018</v>
      </c>
      <c r="F36" s="1066">
        <v>6.0499367464408493</v>
      </c>
      <c r="G36" s="1132">
        <v>6.9139902684790755</v>
      </c>
      <c r="H36" s="1132" t="s">
        <v>136</v>
      </c>
      <c r="I36" s="1066">
        <v>6.5067414895362337</v>
      </c>
      <c r="J36" s="1132" t="s">
        <v>132</v>
      </c>
      <c r="K36" s="1066">
        <v>5.4740000000000002</v>
      </c>
      <c r="L36" s="1066" t="s">
        <v>248</v>
      </c>
      <c r="M36" s="1132">
        <v>6.5067414895362337</v>
      </c>
      <c r="N36" s="1132" t="s">
        <v>214</v>
      </c>
      <c r="O36" s="1066">
        <v>6.7699617940492587</v>
      </c>
      <c r="P36" s="1152">
        <v>8.4424904485123147</v>
      </c>
      <c r="Q36" s="1152">
        <v>6.9139902684790755</v>
      </c>
      <c r="R36" s="1152">
        <v>5.4301970782688862</v>
      </c>
      <c r="S36" s="1152" t="s">
        <v>249</v>
      </c>
      <c r="T36" s="1152">
        <v>7.6343860721272652</v>
      </c>
      <c r="U36" s="1066">
        <v>6.5067414895362337</v>
      </c>
      <c r="V36" s="1065">
        <v>7.2370000000000001</v>
      </c>
      <c r="W36" s="473"/>
    </row>
    <row r="37" spans="1:30" s="25" customFormat="1" ht="17.25" customHeight="1" x14ac:dyDescent="0.2">
      <c r="A37" s="461" t="s">
        <v>8</v>
      </c>
      <c r="B37" s="1133">
        <v>6.3913264353079944</v>
      </c>
      <c r="C37" s="1247">
        <v>6.8484598679138928</v>
      </c>
      <c r="D37" s="1126">
        <v>7.0117736504612962</v>
      </c>
      <c r="E37" s="1126">
        <v>5.6244899572064675</v>
      </c>
      <c r="F37" s="1126">
        <v>7.5533528388027715</v>
      </c>
      <c r="G37" s="1134" t="s">
        <v>250</v>
      </c>
      <c r="H37" s="1134" t="s">
        <v>249</v>
      </c>
      <c r="I37" s="1126">
        <v>7.2613464942663244</v>
      </c>
      <c r="J37" s="1134" t="s">
        <v>250</v>
      </c>
      <c r="K37" s="1126">
        <v>4.9367781169372504</v>
      </c>
      <c r="L37" s="1126">
        <v>6.2298815850220413</v>
      </c>
      <c r="M37" s="1134" t="s">
        <v>251</v>
      </c>
      <c r="N37" s="1134">
        <v>5.8748849553976417</v>
      </c>
      <c r="O37" s="1126">
        <v>6.403188873059884</v>
      </c>
      <c r="P37" s="1148">
        <v>5.3275544853599257</v>
      </c>
      <c r="Q37" s="1149">
        <v>7.1957139877502794</v>
      </c>
      <c r="R37" s="1149" t="s">
        <v>216</v>
      </c>
      <c r="S37" s="1149">
        <v>6.403188873059884</v>
      </c>
      <c r="T37" s="1148">
        <v>6.5889213980046186</v>
      </c>
      <c r="U37" s="1126">
        <v>7.2613464942663244</v>
      </c>
      <c r="V37" s="1148">
        <v>6.2721759528884569</v>
      </c>
      <c r="W37" s="473"/>
    </row>
    <row r="38" spans="1:30" s="25" customFormat="1" ht="9" customHeight="1" x14ac:dyDescent="0.2">
      <c r="A38" s="502"/>
      <c r="B38" s="1242"/>
      <c r="C38" s="1248"/>
      <c r="D38" s="1243"/>
      <c r="E38" s="1243"/>
      <c r="F38" s="1243"/>
      <c r="G38" s="1244"/>
      <c r="H38" s="1244"/>
      <c r="I38" s="1243"/>
      <c r="J38" s="1244"/>
      <c r="K38" s="1243"/>
      <c r="L38" s="1243"/>
      <c r="M38" s="1244"/>
      <c r="N38" s="1244"/>
      <c r="O38" s="1243"/>
      <c r="P38" s="1245"/>
      <c r="Q38" s="1246"/>
      <c r="R38" s="1246"/>
      <c r="S38" s="1246"/>
      <c r="T38" s="1245"/>
      <c r="U38" s="1243"/>
      <c r="V38" s="1245"/>
      <c r="W38" s="473"/>
    </row>
    <row r="39" spans="1:30" s="25" customFormat="1" ht="17.25" customHeight="1" x14ac:dyDescent="0.2">
      <c r="A39" s="275" t="s">
        <v>9</v>
      </c>
      <c r="B39" s="212" t="s">
        <v>5</v>
      </c>
      <c r="C39" s="213" t="s">
        <v>5</v>
      </c>
      <c r="D39" s="214">
        <v>2014</v>
      </c>
      <c r="E39" s="65">
        <v>2004</v>
      </c>
      <c r="F39" s="214">
        <v>2011</v>
      </c>
      <c r="G39" s="214">
        <v>2017</v>
      </c>
      <c r="H39" s="214"/>
      <c r="I39" s="214">
        <v>2013</v>
      </c>
      <c r="J39" s="214"/>
      <c r="K39" s="214">
        <v>2018</v>
      </c>
      <c r="L39" s="674" t="s">
        <v>5</v>
      </c>
      <c r="M39" s="214">
        <v>2017</v>
      </c>
      <c r="N39" s="674" t="s">
        <v>5</v>
      </c>
      <c r="O39" s="65">
        <v>2005</v>
      </c>
      <c r="P39" s="199">
        <v>2015</v>
      </c>
      <c r="Q39" s="199">
        <v>2016</v>
      </c>
      <c r="R39" s="199">
        <v>2017</v>
      </c>
      <c r="S39" s="199">
        <v>2017</v>
      </c>
      <c r="T39" s="199">
        <v>2013</v>
      </c>
      <c r="U39" s="214">
        <v>2004</v>
      </c>
      <c r="V39" s="199">
        <v>2006</v>
      </c>
      <c r="W39" s="473"/>
    </row>
    <row r="40" spans="1:30" s="25" customFormat="1" ht="17.25" customHeight="1" x14ac:dyDescent="0.2">
      <c r="A40" s="1289" t="s">
        <v>405</v>
      </c>
      <c r="B40" s="213" t="s">
        <v>5</v>
      </c>
      <c r="C40" s="213" t="s">
        <v>5</v>
      </c>
      <c r="D40" s="1290" t="s">
        <v>409</v>
      </c>
      <c r="E40" s="1292" t="s">
        <v>407</v>
      </c>
      <c r="F40" s="1290" t="s">
        <v>409</v>
      </c>
      <c r="G40" s="1293" t="s">
        <v>411</v>
      </c>
      <c r="H40" s="1294" t="s">
        <v>413</v>
      </c>
      <c r="I40" s="1294" t="s">
        <v>413</v>
      </c>
      <c r="J40" s="1295" t="s">
        <v>415</v>
      </c>
      <c r="K40" s="1290" t="s">
        <v>416</v>
      </c>
      <c r="L40" s="1290" t="s">
        <v>407</v>
      </c>
      <c r="M40" s="1293" t="s">
        <v>413</v>
      </c>
      <c r="N40" s="1293" t="s">
        <v>415</v>
      </c>
      <c r="O40" s="1290" t="s">
        <v>409</v>
      </c>
      <c r="P40" s="1290" t="s">
        <v>409</v>
      </c>
      <c r="Q40" s="1291" t="s">
        <v>415</v>
      </c>
      <c r="R40" s="1291" t="s">
        <v>415</v>
      </c>
      <c r="S40" s="1291" t="s">
        <v>415</v>
      </c>
      <c r="T40" s="1291" t="s">
        <v>415</v>
      </c>
      <c r="U40" s="1291" t="s">
        <v>415</v>
      </c>
      <c r="V40" s="1293" t="s">
        <v>416</v>
      </c>
      <c r="W40" s="473"/>
    </row>
    <row r="41" spans="1:30" s="25" customFormat="1" ht="17.25" customHeight="1" x14ac:dyDescent="0.2">
      <c r="A41" s="1289" t="s">
        <v>406</v>
      </c>
      <c r="B41" s="213" t="s">
        <v>5</v>
      </c>
      <c r="C41" s="213" t="s">
        <v>5</v>
      </c>
      <c r="D41" s="1290" t="s">
        <v>410</v>
      </c>
      <c r="E41" s="1292" t="s">
        <v>408</v>
      </c>
      <c r="F41" s="1290" t="s">
        <v>410</v>
      </c>
      <c r="G41" s="1292" t="s">
        <v>408</v>
      </c>
      <c r="H41" s="1296" t="s">
        <v>414</v>
      </c>
      <c r="I41" s="1296" t="s">
        <v>414</v>
      </c>
      <c r="J41" s="1295" t="s">
        <v>419</v>
      </c>
      <c r="K41" s="1290" t="s">
        <v>417</v>
      </c>
      <c r="L41" s="1290" t="s">
        <v>417</v>
      </c>
      <c r="M41" s="1290" t="s">
        <v>414</v>
      </c>
      <c r="N41" s="1290" t="s">
        <v>408</v>
      </c>
      <c r="O41" s="1290" t="s">
        <v>410</v>
      </c>
      <c r="P41" s="1290" t="s">
        <v>410</v>
      </c>
      <c r="Q41" s="1291" t="s">
        <v>408</v>
      </c>
      <c r="R41" s="1291" t="s">
        <v>408</v>
      </c>
      <c r="S41" s="1290" t="s">
        <v>419</v>
      </c>
      <c r="T41" s="1290" t="s">
        <v>419</v>
      </c>
      <c r="U41" s="1290" t="s">
        <v>419</v>
      </c>
      <c r="V41" s="1290" t="s">
        <v>414</v>
      </c>
      <c r="W41" s="473"/>
    </row>
    <row r="42" spans="1:30" s="185" customFormat="1" ht="17.25" customHeight="1" x14ac:dyDescent="0.2">
      <c r="A42" s="474" t="s">
        <v>10</v>
      </c>
      <c r="B42" s="475"/>
      <c r="C42" s="476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438"/>
      <c r="P42" s="93"/>
      <c r="Q42" s="510"/>
      <c r="R42" s="510"/>
      <c r="S42" s="510"/>
      <c r="T42" s="93"/>
      <c r="U42" s="93"/>
      <c r="V42" s="477"/>
      <c r="W42" s="473"/>
      <c r="X42" s="25"/>
      <c r="Y42" s="25"/>
      <c r="Z42" s="25"/>
      <c r="AA42" s="25"/>
      <c r="AB42" s="25"/>
      <c r="AC42" s="25"/>
      <c r="AD42" s="25"/>
    </row>
    <row r="43" spans="1:30" s="185" customFormat="1" ht="17.25" customHeight="1" x14ac:dyDescent="0.2">
      <c r="A43" s="463" t="s">
        <v>27</v>
      </c>
      <c r="B43" s="480" t="s">
        <v>5</v>
      </c>
      <c r="C43" s="481" t="s">
        <v>5</v>
      </c>
      <c r="D43" s="483">
        <v>12</v>
      </c>
      <c r="E43" s="483">
        <v>17</v>
      </c>
      <c r="F43" s="483">
        <v>12</v>
      </c>
      <c r="G43" s="483">
        <v>12</v>
      </c>
      <c r="H43" s="483"/>
      <c r="I43" s="483">
        <v>12</v>
      </c>
      <c r="J43" s="483"/>
      <c r="K43" s="483">
        <v>9</v>
      </c>
      <c r="L43" s="483">
        <v>5</v>
      </c>
      <c r="M43" s="483">
        <v>12</v>
      </c>
      <c r="N43" s="483">
        <v>5</v>
      </c>
      <c r="O43" s="484">
        <v>26</v>
      </c>
      <c r="P43" s="491">
        <v>7</v>
      </c>
      <c r="Q43" s="491">
        <v>12</v>
      </c>
      <c r="R43" s="491">
        <v>12</v>
      </c>
      <c r="S43" s="491">
        <v>9</v>
      </c>
      <c r="T43" s="491">
        <v>11</v>
      </c>
      <c r="U43" s="483">
        <v>12</v>
      </c>
      <c r="V43" s="988">
        <v>11</v>
      </c>
      <c r="W43" s="473"/>
      <c r="X43" s="25"/>
      <c r="Y43" s="25"/>
      <c r="Z43" s="25"/>
      <c r="AA43" s="25"/>
      <c r="AB43" s="25"/>
      <c r="AC43" s="25"/>
      <c r="AD43" s="25"/>
    </row>
    <row r="44" spans="1:30" s="185" customFormat="1" ht="17.25" customHeight="1" x14ac:dyDescent="0.2">
      <c r="A44" s="466" t="s">
        <v>28</v>
      </c>
      <c r="B44" s="485" t="s">
        <v>5</v>
      </c>
      <c r="C44" s="486" t="s">
        <v>5</v>
      </c>
      <c r="D44" s="488">
        <v>13</v>
      </c>
      <c r="E44" s="488">
        <v>15</v>
      </c>
      <c r="F44" s="488">
        <v>11</v>
      </c>
      <c r="G44" s="488">
        <v>9</v>
      </c>
      <c r="H44" s="488"/>
      <c r="I44" s="488">
        <v>12</v>
      </c>
      <c r="J44" s="488"/>
      <c r="K44" s="488">
        <v>6</v>
      </c>
      <c r="L44" s="488">
        <v>6</v>
      </c>
      <c r="M44" s="488">
        <v>9</v>
      </c>
      <c r="N44" s="488">
        <v>6</v>
      </c>
      <c r="O44" s="488">
        <v>25</v>
      </c>
      <c r="P44" s="492">
        <v>7</v>
      </c>
      <c r="Q44" s="492">
        <v>12</v>
      </c>
      <c r="R44" s="492">
        <v>9</v>
      </c>
      <c r="S44" s="492">
        <v>6</v>
      </c>
      <c r="T44" s="492">
        <v>12</v>
      </c>
      <c r="U44" s="488">
        <v>11</v>
      </c>
      <c r="V44" s="492">
        <v>11</v>
      </c>
      <c r="W44" s="473"/>
      <c r="X44" s="25"/>
      <c r="Y44" s="25"/>
      <c r="Z44" s="25"/>
      <c r="AA44" s="25"/>
      <c r="AB44" s="25"/>
      <c r="AC44" s="25"/>
      <c r="AD44" s="25"/>
    </row>
    <row r="45" spans="1:30" s="185" customFormat="1" ht="17.25" customHeight="1" thickBot="1" x14ac:dyDescent="0.25">
      <c r="A45" s="303" t="s">
        <v>29</v>
      </c>
      <c r="B45" s="550" t="s">
        <v>5</v>
      </c>
      <c r="C45" s="551" t="s">
        <v>5</v>
      </c>
      <c r="D45" s="552">
        <v>13</v>
      </c>
      <c r="E45" s="552">
        <v>12</v>
      </c>
      <c r="F45" s="552">
        <v>12</v>
      </c>
      <c r="G45" s="552">
        <v>5</v>
      </c>
      <c r="H45" s="552"/>
      <c r="I45" s="552">
        <v>11</v>
      </c>
      <c r="J45" s="552"/>
      <c r="K45" s="552">
        <v>5</v>
      </c>
      <c r="L45" s="552">
        <v>6</v>
      </c>
      <c r="M45" s="552">
        <v>5</v>
      </c>
      <c r="N45" s="552">
        <v>6</v>
      </c>
      <c r="O45" s="552">
        <v>21</v>
      </c>
      <c r="P45" s="553">
        <v>6</v>
      </c>
      <c r="Q45" s="553">
        <v>9</v>
      </c>
      <c r="R45" s="553">
        <v>5</v>
      </c>
      <c r="S45" s="553">
        <v>5</v>
      </c>
      <c r="T45" s="553">
        <v>11</v>
      </c>
      <c r="U45" s="552">
        <v>10</v>
      </c>
      <c r="V45" s="497">
        <v>10</v>
      </c>
      <c r="W45" s="473"/>
      <c r="X45" s="25"/>
      <c r="Y45" s="25"/>
      <c r="Z45" s="25"/>
      <c r="AA45" s="25"/>
      <c r="AB45" s="25"/>
      <c r="AC45" s="25"/>
      <c r="AD45" s="25"/>
    </row>
    <row r="46" spans="1:30" s="8" customFormat="1" ht="13.5" customHeight="1" x14ac:dyDescent="0.2">
      <c r="A46" s="354"/>
      <c r="B46" s="355"/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355"/>
      <c r="R46" s="355"/>
      <c r="S46" s="355"/>
      <c r="T46" s="355"/>
      <c r="U46" s="355"/>
      <c r="V46" s="355"/>
      <c r="W46" s="6"/>
      <c r="X46" s="6"/>
      <c r="Y46" s="6"/>
      <c r="Z46" s="6"/>
      <c r="AA46" s="6"/>
      <c r="AB46" s="6"/>
      <c r="AC46" s="6"/>
      <c r="AD46" s="6"/>
    </row>
    <row r="47" spans="1:30" s="8" customFormat="1" ht="13.5" customHeight="1" x14ac:dyDescent="0.2">
      <c r="A47" s="8" t="s">
        <v>77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6"/>
      <c r="X47" s="6"/>
      <c r="Y47" s="6"/>
      <c r="Z47" s="6"/>
      <c r="AA47" s="6"/>
      <c r="AB47" s="6"/>
      <c r="AC47" s="6"/>
      <c r="AD47" s="6"/>
    </row>
    <row r="48" spans="1:30" ht="13.5" customHeight="1" x14ac:dyDescent="0.2">
      <c r="A48" s="1" t="s">
        <v>72</v>
      </c>
      <c r="B48" s="2"/>
      <c r="C48" s="2"/>
      <c r="O48" s="91"/>
      <c r="P48" s="91"/>
      <c r="Q48" s="91"/>
      <c r="R48" s="91"/>
      <c r="S48" s="91"/>
      <c r="T48" s="91"/>
      <c r="U48" s="91"/>
    </row>
    <row r="49" spans="1:22" ht="13.5" customHeight="1" x14ac:dyDescent="0.2">
      <c r="A49" s="807" t="s">
        <v>366</v>
      </c>
      <c r="B49" s="2"/>
      <c r="C49" s="2"/>
      <c r="O49" s="91"/>
      <c r="P49" s="91"/>
      <c r="Q49" s="91"/>
      <c r="R49" s="91"/>
      <c r="S49" s="91"/>
      <c r="T49" s="91"/>
      <c r="U49" s="91"/>
    </row>
    <row r="50" spans="1:22" ht="13.5" customHeight="1" x14ac:dyDescent="0.2">
      <c r="A50" s="1" t="s">
        <v>61</v>
      </c>
      <c r="B50" s="2"/>
      <c r="C50" s="2"/>
      <c r="K50" s="91"/>
      <c r="M50" s="91"/>
      <c r="O50" s="91"/>
      <c r="P50" s="91"/>
      <c r="Q50" s="91"/>
      <c r="R50" s="91"/>
      <c r="S50" s="91"/>
      <c r="T50" s="91"/>
      <c r="U50" s="91"/>
    </row>
    <row r="51" spans="1:22" ht="13.5" customHeight="1" x14ac:dyDescent="0.2">
      <c r="A51" s="1" t="s">
        <v>62</v>
      </c>
      <c r="B51" s="2"/>
      <c r="C51" s="2"/>
      <c r="K51" s="91"/>
      <c r="M51" s="91"/>
      <c r="O51" s="91"/>
      <c r="P51" s="91"/>
      <c r="Q51" s="91"/>
      <c r="R51" s="91"/>
      <c r="S51" s="91"/>
      <c r="T51" s="91"/>
      <c r="U51" s="91"/>
    </row>
    <row r="52" spans="1:22" ht="13.5" customHeight="1" x14ac:dyDescent="0.2">
      <c r="A52" s="6" t="s">
        <v>64</v>
      </c>
      <c r="B52" s="96"/>
      <c r="C52" s="96"/>
    </row>
    <row r="53" spans="1:22" ht="13.5" customHeight="1" x14ac:dyDescent="0.2">
      <c r="A53" s="146" t="s">
        <v>112</v>
      </c>
    </row>
    <row r="54" spans="1:22" x14ac:dyDescent="0.2">
      <c r="A54" s="997"/>
    </row>
    <row r="56" spans="1:22" x14ac:dyDescent="0.2">
      <c r="B56" s="453" t="s">
        <v>1</v>
      </c>
      <c r="C56" s="1278" t="s">
        <v>367</v>
      </c>
      <c r="V56" s="6"/>
    </row>
    <row r="57" spans="1:22" x14ac:dyDescent="0.2">
      <c r="B57" s="453" t="s">
        <v>4</v>
      </c>
      <c r="C57" s="1278" t="s">
        <v>368</v>
      </c>
      <c r="V57" s="6"/>
    </row>
    <row r="58" spans="1:22" x14ac:dyDescent="0.2">
      <c r="B58" s="453" t="s">
        <v>2</v>
      </c>
      <c r="C58" s="1278" t="s">
        <v>369</v>
      </c>
      <c r="V58" s="6"/>
    </row>
    <row r="59" spans="1:22" x14ac:dyDescent="0.2">
      <c r="B59" s="453" t="s">
        <v>3</v>
      </c>
      <c r="C59" s="1278" t="s">
        <v>370</v>
      </c>
      <c r="V59" s="6"/>
    </row>
    <row r="62" spans="1:22" x14ac:dyDescent="0.2">
      <c r="V62" s="6"/>
    </row>
    <row r="63" spans="1:22" x14ac:dyDescent="0.2">
      <c r="V63" s="6"/>
    </row>
    <row r="64" spans="1:22" x14ac:dyDescent="0.2">
      <c r="V64" s="6"/>
    </row>
    <row r="65" spans="22:22" x14ac:dyDescent="0.2">
      <c r="V65" s="6"/>
    </row>
    <row r="66" spans="22:22" x14ac:dyDescent="0.2">
      <c r="V66" s="6"/>
    </row>
    <row r="67" spans="22:22" x14ac:dyDescent="0.2">
      <c r="V67" s="6"/>
    </row>
    <row r="68" spans="22:22" x14ac:dyDescent="0.2">
      <c r="V68" s="6"/>
    </row>
    <row r="69" spans="22:22" x14ac:dyDescent="0.2">
      <c r="V69" s="6"/>
    </row>
    <row r="70" spans="22:22" x14ac:dyDescent="0.2">
      <c r="V70" s="6"/>
    </row>
    <row r="71" spans="22:22" x14ac:dyDescent="0.2">
      <c r="V71" s="6"/>
    </row>
    <row r="72" spans="22:22" x14ac:dyDescent="0.2">
      <c r="V72" s="6"/>
    </row>
    <row r="73" spans="22:22" x14ac:dyDescent="0.2">
      <c r="V73" s="6"/>
    </row>
    <row r="74" spans="22:22" x14ac:dyDescent="0.2">
      <c r="V74" s="6"/>
    </row>
    <row r="75" spans="22:22" x14ac:dyDescent="0.2">
      <c r="V75" s="6"/>
    </row>
  </sheetData>
  <conditionalFormatting sqref="D27:G27">
    <cfRule type="cellIs" dxfId="17" priority="28" stopIfTrue="1" operator="greaterThan">
      <formula>"7.5+1.35"</formula>
    </cfRule>
    <cfRule type="aboveAverage" priority="29" stopIfTrue="1"/>
    <cfRule type="cellIs" dxfId="16" priority="30" stopIfTrue="1" operator="greaterThan">
      <formula>"7.5+$Z$37"</formula>
    </cfRule>
  </conditionalFormatting>
  <conditionalFormatting sqref="H27:I27 K27">
    <cfRule type="cellIs" dxfId="15" priority="25" stopIfTrue="1" operator="greaterThan">
      <formula>"7.5+1.35"</formula>
    </cfRule>
    <cfRule type="aboveAverage" priority="26" stopIfTrue="1"/>
    <cfRule type="cellIs" dxfId="14" priority="27" stopIfTrue="1" operator="greaterThan">
      <formula>"7.5+$Z$37"</formula>
    </cfRule>
  </conditionalFormatting>
  <conditionalFormatting sqref="J27">
    <cfRule type="cellIs" dxfId="13" priority="22" stopIfTrue="1" operator="greaterThan">
      <formula>"7.5+1.35"</formula>
    </cfRule>
    <cfRule type="aboveAverage" priority="23" stopIfTrue="1"/>
    <cfRule type="cellIs" dxfId="12" priority="24" stopIfTrue="1" operator="greaterThan">
      <formula>"7.5+$Z$37"</formula>
    </cfRule>
  </conditionalFormatting>
  <conditionalFormatting sqref="M27">
    <cfRule type="cellIs" dxfId="11" priority="19" stopIfTrue="1" operator="greaterThan">
      <formula>"7.5+1.35"</formula>
    </cfRule>
    <cfRule type="aboveAverage" priority="20" stopIfTrue="1"/>
    <cfRule type="cellIs" dxfId="10" priority="21" stopIfTrue="1" operator="greaterThan">
      <formula>"7.5+$Z$37"</formula>
    </cfRule>
  </conditionalFormatting>
  <conditionalFormatting sqref="L27">
    <cfRule type="cellIs" dxfId="9" priority="16" stopIfTrue="1" operator="greaterThan">
      <formula>"7.5+1.35"</formula>
    </cfRule>
    <cfRule type="aboveAverage" priority="17" stopIfTrue="1"/>
    <cfRule type="cellIs" dxfId="8" priority="18" stopIfTrue="1" operator="greaterThan">
      <formula>"7.5+$Z$37"</formula>
    </cfRule>
  </conditionalFormatting>
  <conditionalFormatting sqref="O27:Q27">
    <cfRule type="cellIs" dxfId="7" priority="10" stopIfTrue="1" operator="greaterThan">
      <formula>"7.5+1.35"</formula>
    </cfRule>
    <cfRule type="aboveAverage" priority="11" stopIfTrue="1"/>
    <cfRule type="cellIs" dxfId="6" priority="12" stopIfTrue="1" operator="greaterThan">
      <formula>"7.5+$Z$37"</formula>
    </cfRule>
  </conditionalFormatting>
  <conditionalFormatting sqref="N27">
    <cfRule type="cellIs" dxfId="5" priority="7" stopIfTrue="1" operator="greaterThan">
      <formula>"7.5+1.35"</formula>
    </cfRule>
    <cfRule type="aboveAverage" priority="8" stopIfTrue="1"/>
    <cfRule type="cellIs" dxfId="4" priority="9" stopIfTrue="1" operator="greaterThan">
      <formula>"7.5+$Z$37"</formula>
    </cfRule>
  </conditionalFormatting>
  <conditionalFormatting sqref="R27">
    <cfRule type="cellIs" dxfId="3" priority="4" stopIfTrue="1" operator="greaterThan">
      <formula>"7.5+1.35"</formula>
    </cfRule>
    <cfRule type="aboveAverage" priority="5" stopIfTrue="1"/>
    <cfRule type="cellIs" dxfId="2" priority="6" stopIfTrue="1" operator="greaterThan">
      <formula>"7.5+$Z$37"</formula>
    </cfRule>
  </conditionalFormatting>
  <conditionalFormatting sqref="S27:V27">
    <cfRule type="cellIs" dxfId="1" priority="1" stopIfTrue="1" operator="greaterThan">
      <formula>"7.5+1.35"</formula>
    </cfRule>
    <cfRule type="aboveAverage" priority="2" stopIfTrue="1"/>
    <cfRule type="cellIs" dxfId="0" priority="3" stopIfTrue="1" operator="greaterThan">
      <formula>"7.5+$Z$37"</formula>
    </cfRule>
  </conditionalFormatting>
  <printOptions horizontalCentered="1" verticalCentered="1"/>
  <pageMargins left="0.39370078740157483" right="0.39370078740157483" top="0.39370078740157483" bottom="0.39370078740157483" header="0.19685039370078741" footer="0.15748031496062992"/>
  <pageSetup paperSize="8"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BX61"/>
  <sheetViews>
    <sheetView topLeftCell="I1" zoomScale="90" zoomScaleNormal="90" workbookViewId="0">
      <selection activeCell="R39" sqref="R39"/>
    </sheetView>
  </sheetViews>
  <sheetFormatPr defaultColWidth="9.140625" defaultRowHeight="12.75" x14ac:dyDescent="0.2"/>
  <cols>
    <col min="1" max="1" width="43.85546875" style="6" customWidth="1"/>
    <col min="2" max="2" width="10.42578125" style="95" customWidth="1"/>
    <col min="3" max="3" width="10" style="95" customWidth="1"/>
    <col min="4" max="13" width="8.42578125" style="95" customWidth="1"/>
    <col min="14" max="14" width="8" style="95" customWidth="1"/>
    <col min="15" max="29" width="8.42578125" style="95" customWidth="1"/>
    <col min="30" max="30" width="9.140625" style="6"/>
    <col min="31" max="31" width="11.42578125" style="6" customWidth="1"/>
    <col min="32" max="16384" width="9.140625" style="6"/>
  </cols>
  <sheetData>
    <row r="1" spans="1:32" ht="15" x14ac:dyDescent="0.25">
      <c r="A1" s="41" t="s">
        <v>145</v>
      </c>
      <c r="B1" s="97"/>
      <c r="C1" s="97"/>
      <c r="D1" s="4"/>
      <c r="E1" s="4"/>
      <c r="F1" s="4"/>
      <c r="G1" s="3"/>
      <c r="H1" s="3"/>
      <c r="I1" s="3"/>
      <c r="J1" s="4"/>
      <c r="K1" s="4"/>
      <c r="L1" s="4"/>
      <c r="M1" s="3"/>
      <c r="N1" s="3"/>
      <c r="O1" s="3"/>
      <c r="Q1" s="3"/>
      <c r="R1" s="3"/>
      <c r="S1" s="4"/>
      <c r="T1" s="3"/>
      <c r="U1" s="3"/>
      <c r="V1" s="3"/>
      <c r="W1" s="4"/>
      <c r="X1" s="3"/>
      <c r="Y1" s="3"/>
      <c r="Z1" s="3"/>
    </row>
    <row r="2" spans="1:32" ht="11.25" customHeight="1" thickBot="1" x14ac:dyDescent="0.3">
      <c r="A2" s="42"/>
      <c r="B2" s="97"/>
      <c r="C2" s="9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/>
      <c r="Q2" s="4"/>
      <c r="R2" s="4"/>
      <c r="S2" s="3"/>
      <c r="T2" s="4"/>
      <c r="U2" s="4"/>
      <c r="V2" s="4"/>
      <c r="W2" s="4"/>
      <c r="X2" s="4"/>
      <c r="Y2" s="4"/>
      <c r="Z2" s="4"/>
      <c r="AA2" s="3"/>
      <c r="AB2" s="3"/>
      <c r="AC2" s="3"/>
      <c r="AD2" s="3"/>
      <c r="AE2" s="3"/>
    </row>
    <row r="3" spans="1:32" ht="86.45" customHeight="1" x14ac:dyDescent="0.2">
      <c r="A3" s="48"/>
      <c r="B3" s="50" t="s">
        <v>141</v>
      </c>
      <c r="C3" s="50" t="s">
        <v>342</v>
      </c>
      <c r="D3" s="749" t="s">
        <v>129</v>
      </c>
      <c r="E3" s="749" t="s">
        <v>236</v>
      </c>
      <c r="F3" s="21" t="s">
        <v>118</v>
      </c>
      <c r="G3" s="749" t="s">
        <v>206</v>
      </c>
      <c r="H3" s="749" t="s">
        <v>207</v>
      </c>
      <c r="I3" s="21" t="s">
        <v>78</v>
      </c>
      <c r="J3" s="749" t="s">
        <v>124</v>
      </c>
      <c r="K3" s="21" t="s">
        <v>70</v>
      </c>
      <c r="L3" s="749" t="s">
        <v>131</v>
      </c>
      <c r="M3" s="21" t="s">
        <v>121</v>
      </c>
      <c r="N3" s="749" t="s">
        <v>67</v>
      </c>
      <c r="O3" s="750" t="s">
        <v>68</v>
      </c>
      <c r="P3" s="749" t="s">
        <v>102</v>
      </c>
      <c r="Q3" s="749" t="s">
        <v>205</v>
      </c>
      <c r="R3" s="750" t="s">
        <v>96</v>
      </c>
      <c r="S3" s="750" t="s">
        <v>88</v>
      </c>
      <c r="T3" s="750" t="s">
        <v>97</v>
      </c>
      <c r="U3" s="750" t="s">
        <v>116</v>
      </c>
      <c r="V3" s="749" t="s">
        <v>237</v>
      </c>
      <c r="W3" s="749" t="s">
        <v>120</v>
      </c>
      <c r="X3" s="750" t="s">
        <v>114</v>
      </c>
      <c r="Y3" s="749" t="s">
        <v>208</v>
      </c>
      <c r="Z3" s="749" t="s">
        <v>238</v>
      </c>
      <c r="AA3" s="555" t="s">
        <v>71</v>
      </c>
      <c r="AB3" s="555" t="s">
        <v>69</v>
      </c>
      <c r="AC3" s="21" t="s">
        <v>119</v>
      </c>
      <c r="AD3" s="893"/>
    </row>
    <row r="4" spans="1:32" ht="26.25" customHeight="1" x14ac:dyDescent="0.2">
      <c r="A4" s="43" t="s">
        <v>26</v>
      </c>
      <c r="B4" s="52" t="s">
        <v>5</v>
      </c>
      <c r="C4" s="52" t="s">
        <v>5</v>
      </c>
      <c r="D4" s="673" t="s">
        <v>2</v>
      </c>
      <c r="E4" s="1276" t="s">
        <v>2</v>
      </c>
      <c r="F4" s="23" t="s">
        <v>2</v>
      </c>
      <c r="G4" s="673" t="s">
        <v>2</v>
      </c>
      <c r="H4" s="673" t="s">
        <v>2</v>
      </c>
      <c r="I4" s="23" t="s">
        <v>1</v>
      </c>
      <c r="J4" s="673" t="s">
        <v>3</v>
      </c>
      <c r="K4" s="23" t="s">
        <v>1</v>
      </c>
      <c r="L4" s="673" t="s">
        <v>3</v>
      </c>
      <c r="M4" s="23" t="s">
        <v>2</v>
      </c>
      <c r="N4" s="673" t="s">
        <v>1</v>
      </c>
      <c r="O4" s="673" t="s">
        <v>1</v>
      </c>
      <c r="P4" s="673" t="s">
        <v>1</v>
      </c>
      <c r="Q4" s="673" t="s">
        <v>2</v>
      </c>
      <c r="R4" s="673" t="s">
        <v>3</v>
      </c>
      <c r="S4" s="673" t="s">
        <v>4</v>
      </c>
      <c r="T4" s="673" t="s">
        <v>1</v>
      </c>
      <c r="U4" s="673" t="s">
        <v>2</v>
      </c>
      <c r="V4" s="1276" t="s">
        <v>2</v>
      </c>
      <c r="W4" s="673" t="s">
        <v>2</v>
      </c>
      <c r="X4" s="673" t="s">
        <v>2</v>
      </c>
      <c r="Y4" s="673" t="s">
        <v>3</v>
      </c>
      <c r="Z4" s="1276" t="s">
        <v>2</v>
      </c>
      <c r="AA4" s="23" t="s">
        <v>4</v>
      </c>
      <c r="AB4" s="23" t="s">
        <v>1</v>
      </c>
      <c r="AC4" s="556" t="s">
        <v>3</v>
      </c>
      <c r="AD4" s="893"/>
    </row>
    <row r="5" spans="1:32" s="25" customFormat="1" x14ac:dyDescent="0.2">
      <c r="A5" s="499" t="s">
        <v>11</v>
      </c>
      <c r="B5" s="56" t="s">
        <v>5</v>
      </c>
      <c r="C5" s="56" t="s">
        <v>5</v>
      </c>
      <c r="D5" s="24">
        <v>152.60899999999998</v>
      </c>
      <c r="E5" s="1277">
        <v>44347</v>
      </c>
      <c r="F5" s="24">
        <v>154.05700000000002</v>
      </c>
      <c r="G5" s="24">
        <v>154.34699999999998</v>
      </c>
      <c r="H5" s="24">
        <v>154.63900000000001</v>
      </c>
      <c r="I5" s="24">
        <v>154.739</v>
      </c>
      <c r="J5" s="24">
        <v>154.929</v>
      </c>
      <c r="K5" s="24">
        <v>155.185</v>
      </c>
      <c r="L5" s="198">
        <v>155.58100000000002</v>
      </c>
      <c r="M5" s="24">
        <v>156.25900000000001</v>
      </c>
      <c r="N5" s="24">
        <v>156.33799999999999</v>
      </c>
      <c r="O5" s="24">
        <v>156.37900000000002</v>
      </c>
      <c r="P5" s="24">
        <v>156.38400000000001</v>
      </c>
      <c r="Q5" s="24">
        <v>157.32499999999999</v>
      </c>
      <c r="R5" s="24">
        <v>157.44999999999999</v>
      </c>
      <c r="S5" s="24">
        <v>157.48099999999999</v>
      </c>
      <c r="T5" s="24">
        <v>157.97199999999998</v>
      </c>
      <c r="U5" s="24">
        <v>158.369</v>
      </c>
      <c r="V5" s="1277">
        <v>44353</v>
      </c>
      <c r="W5" s="24">
        <v>159.172</v>
      </c>
      <c r="X5" s="24">
        <v>159.69499999999999</v>
      </c>
      <c r="Y5" s="24">
        <v>160.023</v>
      </c>
      <c r="Z5" s="1277">
        <v>44355</v>
      </c>
      <c r="AA5" s="24">
        <v>162.524</v>
      </c>
      <c r="AB5" s="24">
        <v>164.31100000000001</v>
      </c>
      <c r="AC5" s="198">
        <v>170.964</v>
      </c>
      <c r="AD5" s="473"/>
    </row>
    <row r="6" spans="1:32" s="25" customFormat="1" ht="17.25" customHeight="1" x14ac:dyDescent="0.2">
      <c r="A6" s="860" t="s">
        <v>13</v>
      </c>
      <c r="B6" s="861"/>
      <c r="C6" s="861"/>
      <c r="D6" s="863"/>
      <c r="E6" s="863"/>
      <c r="F6" s="863"/>
      <c r="G6" s="863"/>
      <c r="H6" s="863"/>
      <c r="I6" s="863"/>
      <c r="J6" s="863"/>
      <c r="K6" s="863"/>
      <c r="L6" s="863"/>
      <c r="M6" s="863"/>
      <c r="N6" s="863"/>
      <c r="O6" s="863"/>
      <c r="P6" s="534"/>
      <c r="Q6" s="863"/>
      <c r="R6" s="863"/>
      <c r="S6" s="863"/>
      <c r="T6" s="863"/>
      <c r="U6" s="863"/>
      <c r="V6" s="863"/>
      <c r="W6" s="863"/>
      <c r="X6" s="863"/>
      <c r="Y6" s="863"/>
      <c r="Z6" s="863"/>
      <c r="AA6" s="863"/>
      <c r="AB6" s="863"/>
      <c r="AC6" s="534"/>
      <c r="AD6" s="473"/>
      <c r="AF6" s="331"/>
    </row>
    <row r="7" spans="1:32" s="25" customFormat="1" ht="17.25" customHeight="1" x14ac:dyDescent="0.2">
      <c r="A7" s="685" t="s">
        <v>278</v>
      </c>
      <c r="B7" s="1100">
        <v>100</v>
      </c>
      <c r="C7" s="1101">
        <v>98.232711999921548</v>
      </c>
      <c r="D7" s="1063">
        <v>97.436326477922691</v>
      </c>
      <c r="E7" s="1063">
        <v>101.8805349256414</v>
      </c>
      <c r="F7" s="1063">
        <v>102.27605988916417</v>
      </c>
      <c r="G7" s="1063">
        <v>102.1940333754406</v>
      </c>
      <c r="H7" s="1063">
        <v>100.24764940165892</v>
      </c>
      <c r="I7" s="1063">
        <v>96.216417307820009</v>
      </c>
      <c r="J7" s="1063">
        <v>98.354367407838637</v>
      </c>
      <c r="K7" s="1063">
        <v>99.179116019612863</v>
      </c>
      <c r="L7" s="1063">
        <v>99.246057052200655</v>
      </c>
      <c r="M7" s="1063">
        <v>100.09758608989252</v>
      </c>
      <c r="N7" s="1063">
        <v>95.976927174491962</v>
      </c>
      <c r="O7" s="1063">
        <v>97.451724832199488</v>
      </c>
      <c r="P7" s="1064">
        <v>97.980632978461287</v>
      </c>
      <c r="Q7" s="1063">
        <v>100.41855855102861</v>
      </c>
      <c r="R7" s="1063">
        <v>96.165013473869834</v>
      </c>
      <c r="S7" s="1063">
        <v>96.428902864722048</v>
      </c>
      <c r="T7" s="1063">
        <v>98.009763454605618</v>
      </c>
      <c r="U7" s="1063">
        <v>100.23135687428282</v>
      </c>
      <c r="V7" s="1063">
        <v>97.221115925951167</v>
      </c>
      <c r="W7" s="1063">
        <v>106.55597357280865</v>
      </c>
      <c r="X7" s="1063">
        <v>98.402934247125017</v>
      </c>
      <c r="Y7" s="1063">
        <v>100.9766394639737</v>
      </c>
      <c r="Z7" s="1063">
        <v>102.08804619999999</v>
      </c>
      <c r="AA7" s="1063">
        <v>103.02482389677922</v>
      </c>
      <c r="AB7" s="1063">
        <v>100.55861740683001</v>
      </c>
      <c r="AC7" s="1064">
        <v>102.15824331343654</v>
      </c>
      <c r="AD7" s="473"/>
      <c r="AF7" s="331"/>
    </row>
    <row r="8" spans="1:32" s="25" customFormat="1" ht="17.25" customHeight="1" x14ac:dyDescent="0.2">
      <c r="A8" s="758" t="s">
        <v>227</v>
      </c>
      <c r="B8" s="1102">
        <f>65+12.0302135418471</f>
        <v>77.030213541847104</v>
      </c>
      <c r="C8" s="1103">
        <f>65+11.5261915762555</f>
        <v>76.526191576255499</v>
      </c>
      <c r="D8" s="1066">
        <f>65+11.2452189478882</f>
        <v>76.245218947888205</v>
      </c>
      <c r="E8" s="1066">
        <f>65+12.7170859196159</f>
        <v>77.717085919615897</v>
      </c>
      <c r="F8" s="1066">
        <f>65+10.8293368292261</f>
        <v>75.829336829226094</v>
      </c>
      <c r="G8" s="1066">
        <f>65+14.4722923945973</f>
        <v>79.472292394597304</v>
      </c>
      <c r="H8" s="1066">
        <f>65+12.3692276121268</f>
        <v>77.369227612126792</v>
      </c>
      <c r="I8" s="1066">
        <f>65+10.8587813899717</f>
        <v>75.858781389971696</v>
      </c>
      <c r="J8" s="1066">
        <f>65+11.203336313149</f>
        <v>76.203336313148995</v>
      </c>
      <c r="K8" s="1066">
        <f>65+12.6675487050917</f>
        <v>77.667548705091704</v>
      </c>
      <c r="L8" s="1066">
        <f>65+10.6252189478882</f>
        <v>75.6252189478882</v>
      </c>
      <c r="M8" s="1066">
        <f>65+11.5771146070039</f>
        <v>76.577114607003892</v>
      </c>
      <c r="N8" s="1066">
        <f>65+11.7641054885795</f>
        <v>76.764105488579503</v>
      </c>
      <c r="O8" s="1066">
        <f>65+12.3132564593719</f>
        <v>77.3132564593719</v>
      </c>
      <c r="P8" s="1068">
        <f>65+11.8561792392938</f>
        <v>76.856179239293795</v>
      </c>
      <c r="Q8" s="1066">
        <f>65+11.3018856145548</f>
        <v>76.301885614554806</v>
      </c>
      <c r="R8" s="1066">
        <f>65+10.4471915685929</f>
        <v>75.447191568592899</v>
      </c>
      <c r="S8" s="1066">
        <f>65+10.8562416793695</f>
        <v>75.856241679369504</v>
      </c>
      <c r="T8" s="1066">
        <f>65+10.5404633017976</f>
        <v>75.540463301797601</v>
      </c>
      <c r="U8" s="1066">
        <f>65+12.1523921336661</f>
        <v>77.152392133666098</v>
      </c>
      <c r="V8" s="1066">
        <f>65+11.6370859196159</f>
        <v>76.637085919615899</v>
      </c>
      <c r="W8" s="1066">
        <f>65+12.798225718115</f>
        <v>77.798225718115006</v>
      </c>
      <c r="X8" s="1066">
        <f>65+14.0789937527994</f>
        <v>79.078993752799406</v>
      </c>
      <c r="Y8" s="1066">
        <f>65+9.84256094546016</f>
        <v>74.842560945460164</v>
      </c>
      <c r="Z8" s="1066">
        <f>65+11.93127226</f>
        <v>76.93127226</v>
      </c>
      <c r="AA8" s="1066">
        <f>65+12.0096695674531</f>
        <v>77.009669567453102</v>
      </c>
      <c r="AB8" s="1066">
        <f>65+10.9209203620063</f>
        <v>75.920920362006299</v>
      </c>
      <c r="AC8" s="1068">
        <f>65+10.9393208899708</f>
        <v>75.939320889970801</v>
      </c>
      <c r="AD8" s="473"/>
      <c r="AF8" s="331"/>
    </row>
    <row r="9" spans="1:32" s="25" customFormat="1" ht="17.25" customHeight="1" x14ac:dyDescent="0.2">
      <c r="A9" s="688" t="s">
        <v>289</v>
      </c>
      <c r="B9" s="761">
        <v>100</v>
      </c>
      <c r="C9" s="762">
        <v>97.834837133303097</v>
      </c>
      <c r="D9" s="764">
        <v>96.459304851304637</v>
      </c>
      <c r="E9" s="764">
        <v>102.96309275194734</v>
      </c>
      <c r="F9" s="764">
        <v>101.80708404633558</v>
      </c>
      <c r="G9" s="764">
        <v>105.01838523246835</v>
      </c>
      <c r="H9" s="764">
        <v>100.80639511136036</v>
      </c>
      <c r="I9" s="764">
        <v>95.169680823187065</v>
      </c>
      <c r="J9" s="764">
        <v>96.959644078912547</v>
      </c>
      <c r="K9" s="764">
        <v>100.7280363868032</v>
      </c>
      <c r="L9" s="764">
        <v>97.499227641687824</v>
      </c>
      <c r="M9" s="764">
        <v>101.47362302926508</v>
      </c>
      <c r="N9" s="764">
        <v>96.098550153634335</v>
      </c>
      <c r="O9" s="764">
        <v>97.613906302924221</v>
      </c>
      <c r="P9" s="763">
        <v>98.041896916475949</v>
      </c>
      <c r="Q9" s="764">
        <v>99.692853660700052</v>
      </c>
      <c r="R9" s="764">
        <v>94.075191986460283</v>
      </c>
      <c r="S9" s="764">
        <v>94.663965669740989</v>
      </c>
      <c r="T9" s="764">
        <v>96.448864442933868</v>
      </c>
      <c r="U9" s="764">
        <v>100.49625954200573</v>
      </c>
      <c r="V9" s="764">
        <v>97.142870796039148</v>
      </c>
      <c r="W9" s="764">
        <v>109.14447067941276</v>
      </c>
      <c r="X9" s="764">
        <v>102.20651455382443</v>
      </c>
      <c r="Y9" s="764">
        <v>98.501062416646221</v>
      </c>
      <c r="Z9" s="764">
        <v>102.0191332</v>
      </c>
      <c r="AA9" s="764">
        <v>103.64656131599449</v>
      </c>
      <c r="AB9" s="764">
        <v>99.006637927494239</v>
      </c>
      <c r="AC9" s="763">
        <v>100.69789758698377</v>
      </c>
      <c r="AD9" s="473"/>
      <c r="AF9" s="331"/>
    </row>
    <row r="10" spans="1:32" s="25" customFormat="1" ht="17.25" customHeight="1" x14ac:dyDescent="0.2">
      <c r="A10" s="427" t="s">
        <v>14</v>
      </c>
      <c r="B10" s="209"/>
      <c r="C10" s="428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29"/>
      <c r="AC10" s="429"/>
      <c r="AD10" s="473"/>
      <c r="AF10" s="331"/>
    </row>
    <row r="11" spans="1:32" s="25" customFormat="1" ht="17.25" customHeight="1" x14ac:dyDescent="0.2">
      <c r="A11" s="686" t="s">
        <v>270</v>
      </c>
      <c r="B11" s="1104">
        <v>100</v>
      </c>
      <c r="C11" s="1105">
        <v>94.526758154779785</v>
      </c>
      <c r="D11" s="1071">
        <v>97.085533136460612</v>
      </c>
      <c r="E11" s="1071">
        <v>100.40707698127302</v>
      </c>
      <c r="F11" s="1071">
        <v>97.028937994095756</v>
      </c>
      <c r="G11" s="1071">
        <v>94.843501036274475</v>
      </c>
      <c r="H11" s="1071">
        <v>101.53882628286505</v>
      </c>
      <c r="I11" s="1071">
        <v>95.199473774048798</v>
      </c>
      <c r="J11" s="1071">
        <v>97.682107405428681</v>
      </c>
      <c r="K11" s="1071">
        <v>94.347804086469353</v>
      </c>
      <c r="L11" s="1071">
        <v>95.999900623712961</v>
      </c>
      <c r="M11" s="1071">
        <v>96.887076758310172</v>
      </c>
      <c r="N11" s="1071">
        <v>89.460688110168931</v>
      </c>
      <c r="O11" s="1071">
        <v>92.346161995156308</v>
      </c>
      <c r="P11" s="1072">
        <v>98.476322016593258</v>
      </c>
      <c r="Q11" s="1071">
        <v>95.533597487566084</v>
      </c>
      <c r="R11" s="1071">
        <v>95.848284997721279</v>
      </c>
      <c r="S11" s="1071">
        <v>98.44319251162139</v>
      </c>
      <c r="T11" s="1071">
        <v>94.611865307948364</v>
      </c>
      <c r="U11" s="1071">
        <v>97.520551344405334</v>
      </c>
      <c r="V11" s="1071">
        <v>94.382900197741421</v>
      </c>
      <c r="W11" s="1071">
        <v>99.309061815107</v>
      </c>
      <c r="X11" s="1071">
        <v>90.740760054271291</v>
      </c>
      <c r="Y11" s="1071">
        <v>94.570878222371377</v>
      </c>
      <c r="Z11" s="1071">
        <v>94.113026416054893</v>
      </c>
      <c r="AA11" s="1071">
        <v>97.41351647295329</v>
      </c>
      <c r="AB11" s="1071">
        <v>92.201189256025842</v>
      </c>
      <c r="AC11" s="1072">
        <v>92.697737139018656</v>
      </c>
      <c r="AD11" s="473"/>
      <c r="AF11" s="331"/>
    </row>
    <row r="12" spans="1:32" s="25" customFormat="1" ht="30" customHeight="1" x14ac:dyDescent="0.2">
      <c r="A12" s="734" t="s">
        <v>281</v>
      </c>
      <c r="B12" s="772">
        <v>100</v>
      </c>
      <c r="C12" s="762">
        <v>96.498157298257595</v>
      </c>
      <c r="D12" s="764">
        <v>100.88548613316284</v>
      </c>
      <c r="E12" s="764">
        <v>102.54195332021686</v>
      </c>
      <c r="F12" s="764">
        <v>97.07974881782269</v>
      </c>
      <c r="G12" s="764">
        <v>92.720852627622307</v>
      </c>
      <c r="H12" s="764">
        <v>105.33088027744644</v>
      </c>
      <c r="I12" s="764">
        <v>96.89820132675645</v>
      </c>
      <c r="J12" s="764">
        <v>91.899408683735601</v>
      </c>
      <c r="K12" s="764">
        <v>96.410651317256693</v>
      </c>
      <c r="L12" s="764">
        <v>99.234630334080748</v>
      </c>
      <c r="M12" s="764">
        <v>96.952969743158718</v>
      </c>
      <c r="N12" s="764">
        <v>90.049028636306929</v>
      </c>
      <c r="O12" s="764">
        <v>93.857504740587984</v>
      </c>
      <c r="P12" s="763">
        <v>102.95164985793828</v>
      </c>
      <c r="Q12" s="764">
        <v>98.398226172440189</v>
      </c>
      <c r="R12" s="764">
        <v>97.638884619833377</v>
      </c>
      <c r="S12" s="764">
        <v>102.31143351623194</v>
      </c>
      <c r="T12" s="764">
        <v>96.841857897735139</v>
      </c>
      <c r="U12" s="764">
        <v>98.186852172007519</v>
      </c>
      <c r="V12" s="764">
        <v>99.339872408801895</v>
      </c>
      <c r="W12" s="764">
        <v>101.74676020502498</v>
      </c>
      <c r="X12" s="764">
        <v>93.836225586229219</v>
      </c>
      <c r="Y12" s="764">
        <v>96.141605606389334</v>
      </c>
      <c r="Z12" s="764">
        <v>94.728509474608146</v>
      </c>
      <c r="AA12" s="764">
        <v>101.20348308132279</v>
      </c>
      <c r="AB12" s="764">
        <v>92.083209281017474</v>
      </c>
      <c r="AC12" s="763">
        <v>92.24534402124506</v>
      </c>
      <c r="AD12" s="473"/>
      <c r="AF12" s="331"/>
    </row>
    <row r="13" spans="1:32" s="25" customFormat="1" ht="17.25" customHeight="1" x14ac:dyDescent="0.2">
      <c r="A13" s="686" t="s">
        <v>271</v>
      </c>
      <c r="B13" s="1104">
        <v>100</v>
      </c>
      <c r="C13" s="1105">
        <v>96.82669231417745</v>
      </c>
      <c r="D13" s="1071">
        <v>102.81412158961407</v>
      </c>
      <c r="E13" s="1071">
        <v>104.48640160971323</v>
      </c>
      <c r="F13" s="1071">
        <v>105.2525995901449</v>
      </c>
      <c r="G13" s="1071">
        <v>95.469359240110649</v>
      </c>
      <c r="H13" s="1071">
        <v>102.15993498280608</v>
      </c>
      <c r="I13" s="1071">
        <v>96.482666852663286</v>
      </c>
      <c r="J13" s="1071">
        <v>95.944103894612596</v>
      </c>
      <c r="K13" s="1071">
        <v>95.183570141767191</v>
      </c>
      <c r="L13" s="1071">
        <v>97.816099244805557</v>
      </c>
      <c r="M13" s="1071">
        <v>99.564929637871103</v>
      </c>
      <c r="N13" s="1071">
        <v>93.01193440254076</v>
      </c>
      <c r="O13" s="1071">
        <v>94.946052336204303</v>
      </c>
      <c r="P13" s="1080">
        <v>101.61277183861986</v>
      </c>
      <c r="Q13" s="1071">
        <v>98.042990743915865</v>
      </c>
      <c r="R13" s="1071">
        <v>95.415867907305469</v>
      </c>
      <c r="S13" s="1071">
        <v>96.554176167658625</v>
      </c>
      <c r="T13" s="1071">
        <v>99.010595622133962</v>
      </c>
      <c r="U13" s="1071">
        <v>96.442567982119996</v>
      </c>
      <c r="V13" s="1071">
        <v>96.315743895989286</v>
      </c>
      <c r="W13" s="1071">
        <v>100.7173333536913</v>
      </c>
      <c r="X13" s="1071">
        <v>93.280614887173982</v>
      </c>
      <c r="Y13" s="1071">
        <v>96.872209367947079</v>
      </c>
      <c r="Z13" s="1071">
        <v>98.936537413069445</v>
      </c>
      <c r="AA13" s="1071">
        <v>98.584091430877152</v>
      </c>
      <c r="AB13" s="1071">
        <v>93.703051527192429</v>
      </c>
      <c r="AC13" s="1080">
        <v>94.693812707819177</v>
      </c>
      <c r="AD13" s="473"/>
      <c r="AF13" s="331"/>
    </row>
    <row r="14" spans="1:32" s="25" customFormat="1" ht="17.25" customHeight="1" x14ac:dyDescent="0.2">
      <c r="A14" s="736" t="s">
        <v>284</v>
      </c>
      <c r="B14" s="1106">
        <v>100</v>
      </c>
      <c r="C14" s="1107">
        <v>95.5936830405645</v>
      </c>
      <c r="D14" s="1075">
        <v>99.376968517722005</v>
      </c>
      <c r="E14" s="1075">
        <v>102.44673929549315</v>
      </c>
      <c r="F14" s="1075">
        <v>99.770158526112127</v>
      </c>
      <c r="G14" s="1075">
        <v>95.184878238366935</v>
      </c>
      <c r="H14" s="1075">
        <v>101.84938063283556</v>
      </c>
      <c r="I14" s="1075">
        <v>95.791716733409331</v>
      </c>
      <c r="J14" s="1075">
        <v>96.937248757936075</v>
      </c>
      <c r="K14" s="1075">
        <v>94.765687114118265</v>
      </c>
      <c r="L14" s="1075">
        <v>96.726380072150008</v>
      </c>
      <c r="M14" s="1075">
        <v>97.779694384830492</v>
      </c>
      <c r="N14" s="1075">
        <v>91.236311256354838</v>
      </c>
      <c r="O14" s="1075">
        <v>93.50166881339986</v>
      </c>
      <c r="P14" s="1075">
        <v>99.932530862534193</v>
      </c>
      <c r="Q14" s="1075">
        <v>96.537354790105994</v>
      </c>
      <c r="R14" s="1075">
        <v>95.648707879067828</v>
      </c>
      <c r="S14" s="1075">
        <v>97.566149209067248</v>
      </c>
      <c r="T14" s="1075">
        <v>96.654132953820252</v>
      </c>
      <c r="U14" s="1075">
        <v>97.079558150743154</v>
      </c>
      <c r="V14" s="1075">
        <v>95.349322046865339</v>
      </c>
      <c r="W14" s="1075">
        <v>99.778485661301772</v>
      </c>
      <c r="X14" s="1075">
        <v>91.77979157682239</v>
      </c>
      <c r="Y14" s="1075">
        <v>95.721543795159221</v>
      </c>
      <c r="Z14" s="1075">
        <v>96.524781914562183</v>
      </c>
      <c r="AA14" s="1075">
        <v>97.947462944988729</v>
      </c>
      <c r="AB14" s="1075">
        <v>92.916361766105155</v>
      </c>
      <c r="AC14" s="1075">
        <v>93.363095661952158</v>
      </c>
      <c r="AD14" s="473"/>
    </row>
    <row r="15" spans="1:32" s="25" customFormat="1" ht="17.25" customHeight="1" x14ac:dyDescent="0.2">
      <c r="A15" s="455" t="s">
        <v>15</v>
      </c>
      <c r="B15" s="1108"/>
      <c r="C15" s="1109"/>
      <c r="D15" s="429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73"/>
    </row>
    <row r="16" spans="1:32" s="25" customFormat="1" ht="17.25" customHeight="1" x14ac:dyDescent="0.2">
      <c r="A16" s="302" t="s">
        <v>285</v>
      </c>
      <c r="B16" s="1106">
        <v>65.91005350585236</v>
      </c>
      <c r="C16" s="1110">
        <v>68.355979714964406</v>
      </c>
      <c r="D16" s="1074">
        <v>71.124426035168796</v>
      </c>
      <c r="E16" s="1074">
        <v>68.007320454283061</v>
      </c>
      <c r="F16" s="1074">
        <v>67.964541913380856</v>
      </c>
      <c r="G16" s="1074">
        <v>70.298631569087178</v>
      </c>
      <c r="H16" s="1074">
        <v>69.417642604020244</v>
      </c>
      <c r="I16" s="1074">
        <v>69.209974656101437</v>
      </c>
      <c r="J16" s="1074">
        <v>67.969017801661778</v>
      </c>
      <c r="K16" s="1074">
        <v>70.798775175111587</v>
      </c>
      <c r="L16" s="1074">
        <v>63.929926035168798</v>
      </c>
      <c r="M16" s="1074">
        <v>68.288319691158648</v>
      </c>
      <c r="N16" s="1074">
        <v>66.424412448030694</v>
      </c>
      <c r="O16" s="1074">
        <v>65.680035265731021</v>
      </c>
      <c r="P16" s="1076">
        <v>66.973108939287201</v>
      </c>
      <c r="Q16" s="1074">
        <v>70.429759368502118</v>
      </c>
      <c r="R16" s="1074">
        <v>72.035570288925996</v>
      </c>
      <c r="S16" s="1074">
        <v>64.851650988050523</v>
      </c>
      <c r="T16" s="1074">
        <v>69.663680480241808</v>
      </c>
      <c r="U16" s="1074">
        <v>66.522405583450322</v>
      </c>
      <c r="V16" s="1074">
        <v>73.626320454283047</v>
      </c>
      <c r="W16" s="1074">
        <v>68.611319691158627</v>
      </c>
      <c r="X16" s="1074">
        <v>72.833905583450317</v>
      </c>
      <c r="Y16" s="1074">
        <v>72.070309270686906</v>
      </c>
      <c r="Z16" s="1074">
        <v>66.243090370000004</v>
      </c>
      <c r="AA16" s="1074">
        <v>64.759572562499372</v>
      </c>
      <c r="AB16" s="1074">
        <v>67.81030377331335</v>
      </c>
      <c r="AC16" s="1076">
        <v>69.510097468936408</v>
      </c>
      <c r="AD16" s="473"/>
    </row>
    <row r="17" spans="1:76" s="185" customFormat="1" ht="17.25" customHeight="1" x14ac:dyDescent="0.2">
      <c r="A17" s="302" t="s">
        <v>286</v>
      </c>
      <c r="B17" s="1104">
        <v>63.401387231506412</v>
      </c>
      <c r="C17" s="1105">
        <v>64.113845214096614</v>
      </c>
      <c r="D17" s="1079">
        <v>63.934815737676601</v>
      </c>
      <c r="E17" s="1079">
        <v>67.914776900347817</v>
      </c>
      <c r="F17" s="1079">
        <v>64.586816529012282</v>
      </c>
      <c r="G17" s="1079">
        <v>64.541259602566868</v>
      </c>
      <c r="H17" s="1079">
        <v>67.355898738614599</v>
      </c>
      <c r="I17" s="1079">
        <v>64.796432751842261</v>
      </c>
      <c r="J17" s="1079">
        <v>64.221372124868722</v>
      </c>
      <c r="K17" s="1079">
        <v>68.35218877331252</v>
      </c>
      <c r="L17" s="1079">
        <v>61.379149071009941</v>
      </c>
      <c r="M17" s="1079">
        <v>66.132649862345602</v>
      </c>
      <c r="N17" s="1079">
        <v>64.915640536801845</v>
      </c>
      <c r="O17" s="1079">
        <v>61.361431322723149</v>
      </c>
      <c r="P17" s="1153">
        <v>62.297667922574846</v>
      </c>
      <c r="Q17" s="1079">
        <v>64.366649071009945</v>
      </c>
      <c r="R17" s="1079">
        <v>66.843687563704137</v>
      </c>
      <c r="S17" s="1079">
        <v>65.25220822685948</v>
      </c>
      <c r="T17" s="1079">
        <v>63.730255687198358</v>
      </c>
      <c r="U17" s="1079">
        <v>63.957318416620637</v>
      </c>
      <c r="V17" s="1079">
        <v>70.14177690034785</v>
      </c>
      <c r="W17" s="1079">
        <v>61.648483195678914</v>
      </c>
      <c r="X17" s="1079">
        <v>69.398207305509516</v>
      </c>
      <c r="Y17" s="1079">
        <v>65.203065405281265</v>
      </c>
      <c r="Z17" s="1079">
        <v>65.039929822256696</v>
      </c>
      <c r="AA17" s="1071">
        <v>61.321966461484159</v>
      </c>
      <c r="AB17" s="1079">
        <v>64.226597394131218</v>
      </c>
      <c r="AC17" s="1153">
        <v>63.088483195678933</v>
      </c>
      <c r="AD17" s="473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</row>
    <row r="18" spans="1:76" s="190" customFormat="1" ht="17.25" customHeight="1" x14ac:dyDescent="0.2">
      <c r="A18" s="736" t="s">
        <v>290</v>
      </c>
      <c r="B18" s="1111">
        <v>6.2722341348322281</v>
      </c>
      <c r="C18" s="1112">
        <v>6.5245543638107906</v>
      </c>
      <c r="D18" s="1113">
        <v>6.7123264269523073</v>
      </c>
      <c r="E18" s="1113">
        <v>6.7789820206452358</v>
      </c>
      <c r="F18" s="1113">
        <v>6.570778296863363</v>
      </c>
      <c r="G18" s="1113">
        <v>6.6953815930102749</v>
      </c>
      <c r="H18" s="1113">
        <v>6.8447560687185423</v>
      </c>
      <c r="I18" s="1113">
        <v>6.6446328167478121</v>
      </c>
      <c r="J18" s="1113">
        <v>6.4907076218244821</v>
      </c>
      <c r="K18" s="1113">
        <v>7.0284119650157617</v>
      </c>
      <c r="L18" s="1113">
        <v>5.9591260519523068</v>
      </c>
      <c r="M18" s="1113">
        <v>6.6963249968633658</v>
      </c>
      <c r="N18" s="1113">
        <v>6.4250190930783138</v>
      </c>
      <c r="O18" s="1113">
        <v>6.1162285605578983</v>
      </c>
      <c r="P18" s="1092">
        <v>6.278544468821103</v>
      </c>
      <c r="Q18" s="1113">
        <v>6.6920225519523076</v>
      </c>
      <c r="R18" s="1113">
        <v>7.0234655867366129</v>
      </c>
      <c r="S18" s="1113">
        <v>6.3295231243517964</v>
      </c>
      <c r="T18" s="1066">
        <v>6.6006577565370712</v>
      </c>
      <c r="U18" s="1066">
        <v>6.3868662480965668</v>
      </c>
      <c r="V18" s="1113">
        <v>7.3850855206452373</v>
      </c>
      <c r="W18" s="1066">
        <v>6.4491455968633637</v>
      </c>
      <c r="X18" s="1066">
        <v>7.3043461052394214</v>
      </c>
      <c r="Y18" s="1066">
        <v>6.8833681937185407</v>
      </c>
      <c r="Z18" s="1113">
        <v>6.4206133098518308</v>
      </c>
      <c r="AA18" s="1066">
        <v>6.0332837116738247</v>
      </c>
      <c r="AB18" s="1066">
        <v>6.4788506151850935</v>
      </c>
      <c r="AC18" s="1068">
        <v>6.6214542968633641</v>
      </c>
      <c r="AD18" s="473"/>
      <c r="AE18" s="25"/>
      <c r="AF18" s="25"/>
      <c r="AG18" s="25"/>
      <c r="AH18" s="25"/>
      <c r="AI18" s="25"/>
      <c r="AJ18" s="25"/>
      <c r="AK18" s="25"/>
      <c r="AL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</row>
    <row r="19" spans="1:76" s="185" customFormat="1" ht="17.25" customHeight="1" x14ac:dyDescent="0.2">
      <c r="A19" s="437" t="s">
        <v>12</v>
      </c>
      <c r="B19" s="1114"/>
      <c r="C19" s="1115"/>
      <c r="D19" s="438"/>
      <c r="E19" s="438"/>
      <c r="F19" s="438"/>
      <c r="G19" s="438"/>
      <c r="H19" s="438"/>
      <c r="I19" s="438"/>
      <c r="J19" s="438"/>
      <c r="K19" s="438"/>
      <c r="L19" s="438"/>
      <c r="M19" s="438"/>
      <c r="N19" s="438"/>
      <c r="O19" s="438"/>
      <c r="P19" s="439"/>
      <c r="Q19" s="438"/>
      <c r="R19" s="438"/>
      <c r="S19" s="438"/>
      <c r="T19" s="438"/>
      <c r="U19" s="438"/>
      <c r="V19" s="438"/>
      <c r="W19" s="438"/>
      <c r="X19" s="438"/>
      <c r="Y19" s="438"/>
      <c r="Z19" s="438"/>
      <c r="AA19" s="438"/>
      <c r="AB19" s="440"/>
      <c r="AC19" s="439"/>
      <c r="AD19" s="473"/>
      <c r="AE19" s="25"/>
      <c r="AF19" s="331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</row>
    <row r="20" spans="1:76" s="25" customFormat="1" ht="17.25" customHeight="1" x14ac:dyDescent="0.2">
      <c r="A20" s="685" t="s">
        <v>272</v>
      </c>
      <c r="B20" s="1100">
        <v>100</v>
      </c>
      <c r="C20" s="1101">
        <v>86.617762000432919</v>
      </c>
      <c r="D20" s="432">
        <v>93.731559077911314</v>
      </c>
      <c r="E20" s="432">
        <v>94.23758723252584</v>
      </c>
      <c r="F20" s="432">
        <v>110.44496184464889</v>
      </c>
      <c r="G20" s="432">
        <v>82.855606440174711</v>
      </c>
      <c r="H20" s="432">
        <v>107.4688355297229</v>
      </c>
      <c r="I20" s="432">
        <v>83.236928496704209</v>
      </c>
      <c r="J20" s="432">
        <v>98.441722959562469</v>
      </c>
      <c r="K20" s="432">
        <v>95.43404663259092</v>
      </c>
      <c r="L20" s="432">
        <v>102.3868781900287</v>
      </c>
      <c r="M20" s="432">
        <v>82.236082207011648</v>
      </c>
      <c r="N20" s="432">
        <v>81.76861975006193</v>
      </c>
      <c r="O20" s="432">
        <v>90.2992141101101</v>
      </c>
      <c r="P20" s="612">
        <v>93.308849852234601</v>
      </c>
      <c r="Q20" s="432">
        <v>84.750425989396746</v>
      </c>
      <c r="R20" s="432">
        <v>83.792570825347653</v>
      </c>
      <c r="S20" s="432">
        <v>81.946724102765671</v>
      </c>
      <c r="T20" s="432">
        <v>75.311065454459765</v>
      </c>
      <c r="U20" s="432">
        <v>87.27434418600572</v>
      </c>
      <c r="V20" s="432">
        <v>75.014562625090079</v>
      </c>
      <c r="W20" s="432">
        <v>92.784899935582402</v>
      </c>
      <c r="X20" s="432">
        <v>75.729196761495686</v>
      </c>
      <c r="Y20" s="432">
        <v>84.208550779973791</v>
      </c>
      <c r="Z20" s="432">
        <v>84.888142692431785</v>
      </c>
      <c r="AA20" s="432">
        <v>95.341549858054904</v>
      </c>
      <c r="AB20" s="432">
        <v>82.116467456497929</v>
      </c>
      <c r="AC20" s="612">
        <v>81.565566487469511</v>
      </c>
      <c r="AD20" s="473"/>
      <c r="AF20" s="331"/>
    </row>
    <row r="21" spans="1:76" s="185" customFormat="1" ht="17.25" customHeight="1" x14ac:dyDescent="0.2">
      <c r="A21" s="686" t="s">
        <v>273</v>
      </c>
      <c r="B21" s="1104">
        <v>100</v>
      </c>
      <c r="C21" s="1105">
        <v>90.349164221008323</v>
      </c>
      <c r="D21" s="602">
        <v>98.634783780379991</v>
      </c>
      <c r="E21" s="602">
        <v>103.20610078363535</v>
      </c>
      <c r="F21" s="602">
        <v>105.22690067220549</v>
      </c>
      <c r="G21" s="602">
        <v>90.561869573546346</v>
      </c>
      <c r="H21" s="602">
        <v>103.58263794390176</v>
      </c>
      <c r="I21" s="602">
        <v>89.915321521635008</v>
      </c>
      <c r="J21" s="602">
        <v>95.321425363438181</v>
      </c>
      <c r="K21" s="602">
        <v>97.721457325496445</v>
      </c>
      <c r="L21" s="602">
        <v>103.87150095681609</v>
      </c>
      <c r="M21" s="602">
        <v>88.733225171422873</v>
      </c>
      <c r="N21" s="602">
        <v>87.489203361364289</v>
      </c>
      <c r="O21" s="602">
        <v>91.203980902785787</v>
      </c>
      <c r="P21" s="530">
        <v>94.849767874675081</v>
      </c>
      <c r="Q21" s="602">
        <v>88.406820545153238</v>
      </c>
      <c r="R21" s="602">
        <v>87.34508702305898</v>
      </c>
      <c r="S21" s="602">
        <v>85.966747845045774</v>
      </c>
      <c r="T21" s="602">
        <v>83.603273920734111</v>
      </c>
      <c r="U21" s="602">
        <v>90.218184732439866</v>
      </c>
      <c r="V21" s="602">
        <v>82.869190612646364</v>
      </c>
      <c r="W21" s="602">
        <v>97.500759231971188</v>
      </c>
      <c r="X21" s="602">
        <v>83.672288261894764</v>
      </c>
      <c r="Y21" s="602">
        <v>90.423898334362804</v>
      </c>
      <c r="Z21" s="602">
        <v>88.083592232932844</v>
      </c>
      <c r="AA21" s="602">
        <v>97.428530330541946</v>
      </c>
      <c r="AB21" s="602">
        <v>84.801183780723505</v>
      </c>
      <c r="AC21" s="530">
        <v>81.349255592148893</v>
      </c>
      <c r="AD21" s="473"/>
      <c r="AE21" s="25"/>
      <c r="AF21" s="331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</row>
    <row r="22" spans="1:76" s="185" customFormat="1" ht="17.25" customHeight="1" x14ac:dyDescent="0.2">
      <c r="A22" s="686" t="s">
        <v>291</v>
      </c>
      <c r="B22" s="1104">
        <v>100</v>
      </c>
      <c r="C22" s="1105">
        <v>102.3032005252486</v>
      </c>
      <c r="D22" s="602">
        <v>96.627240251575728</v>
      </c>
      <c r="E22" s="602">
        <v>100.56864153026639</v>
      </c>
      <c r="F22" s="602">
        <v>102.43605653832472</v>
      </c>
      <c r="G22" s="602">
        <v>104.90611391854848</v>
      </c>
      <c r="H22" s="602">
        <v>97.848444530452639</v>
      </c>
      <c r="I22" s="602">
        <v>101.24235859393441</v>
      </c>
      <c r="J22" s="602">
        <v>99.748491763243749</v>
      </c>
      <c r="K22" s="602">
        <v>100.96666430618612</v>
      </c>
      <c r="L22" s="602">
        <v>98.927540949826266</v>
      </c>
      <c r="M22" s="602">
        <v>105.88962452431603</v>
      </c>
      <c r="N22" s="602">
        <v>100.19565982884581</v>
      </c>
      <c r="O22" s="602">
        <v>100.57942600917936</v>
      </c>
      <c r="P22" s="530">
        <v>98.984032920683319</v>
      </c>
      <c r="Q22" s="602">
        <v>109.2227891968744</v>
      </c>
      <c r="R22" s="602">
        <v>103.79446968558065</v>
      </c>
      <c r="S22" s="602">
        <v>104.80126377576531</v>
      </c>
      <c r="T22" s="602">
        <v>106.34780038485971</v>
      </c>
      <c r="U22" s="602">
        <v>104.95951087439444</v>
      </c>
      <c r="V22" s="602">
        <v>106.58121611959602</v>
      </c>
      <c r="W22" s="602">
        <v>112.77182498737454</v>
      </c>
      <c r="X22" s="602">
        <v>106.92318220216929</v>
      </c>
      <c r="Y22" s="602">
        <v>107.7275814723294</v>
      </c>
      <c r="Z22" s="602">
        <v>108.66644805337597</v>
      </c>
      <c r="AA22" s="602">
        <v>107.05831611154535</v>
      </c>
      <c r="AB22" s="602">
        <v>105.69892093664869</v>
      </c>
      <c r="AC22" s="530">
        <v>111.71829973533023</v>
      </c>
      <c r="AD22" s="473"/>
      <c r="AE22" s="25"/>
      <c r="AF22" s="331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</row>
    <row r="23" spans="1:76" s="185" customFormat="1" ht="17.25" customHeight="1" x14ac:dyDescent="0.2">
      <c r="A23" s="686" t="s">
        <v>292</v>
      </c>
      <c r="B23" s="1104">
        <v>100</v>
      </c>
      <c r="C23" s="1105">
        <v>99.607280861009372</v>
      </c>
      <c r="D23" s="602">
        <v>95.751851824363584</v>
      </c>
      <c r="E23" s="602">
        <v>102.90334716784078</v>
      </c>
      <c r="F23" s="602">
        <v>100.12918647214181</v>
      </c>
      <c r="G23" s="602">
        <v>107.3781954866553</v>
      </c>
      <c r="H23" s="602">
        <v>97.664569943726903</v>
      </c>
      <c r="I23" s="602">
        <v>96.718898749149488</v>
      </c>
      <c r="J23" s="602">
        <v>96.983661743018743</v>
      </c>
      <c r="K23" s="602">
        <v>97.553708600916423</v>
      </c>
      <c r="L23" s="602">
        <v>97.693662350306212</v>
      </c>
      <c r="M23" s="602">
        <v>100.12481302501128</v>
      </c>
      <c r="N23" s="602">
        <v>98.17936813902827</v>
      </c>
      <c r="O23" s="602">
        <v>99.312824201623954</v>
      </c>
      <c r="P23" s="530">
        <v>98.129814838086048</v>
      </c>
      <c r="Q23" s="602">
        <v>100.40301284765185</v>
      </c>
      <c r="R23" s="602">
        <v>93.066271292705224</v>
      </c>
      <c r="S23" s="602">
        <v>95.304659529162464</v>
      </c>
      <c r="T23" s="602">
        <v>98.888920427346292</v>
      </c>
      <c r="U23" s="602">
        <v>102.66079858789448</v>
      </c>
      <c r="V23" s="602">
        <v>97.379683442017452</v>
      </c>
      <c r="W23" s="602">
        <v>106.55378030684841</v>
      </c>
      <c r="X23" s="602">
        <v>98.803418218792217</v>
      </c>
      <c r="Y23" s="602">
        <v>99.954069516544408</v>
      </c>
      <c r="Z23" s="602">
        <v>106.48520036772146</v>
      </c>
      <c r="AA23" s="602">
        <v>103.93713832918179</v>
      </c>
      <c r="AB23" s="602">
        <v>107.03951834893405</v>
      </c>
      <c r="AC23" s="530">
        <v>105.79717395327164</v>
      </c>
      <c r="AD23" s="473"/>
      <c r="AE23" s="25"/>
      <c r="AF23" s="331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</row>
    <row r="24" spans="1:76" s="185" customFormat="1" ht="17.25" customHeight="1" x14ac:dyDescent="0.2">
      <c r="A24" s="686" t="s">
        <v>274</v>
      </c>
      <c r="B24" s="1106">
        <v>100</v>
      </c>
      <c r="C24" s="1110">
        <v>97.724537475968191</v>
      </c>
      <c r="D24" s="603">
        <v>100.26667433152568</v>
      </c>
      <c r="E24" s="603">
        <v>102.12110747680306</v>
      </c>
      <c r="F24" s="603">
        <v>100.88421659272291</v>
      </c>
      <c r="G24" s="603">
        <v>104.17393944807554</v>
      </c>
      <c r="H24" s="603">
        <v>105.23892753042516</v>
      </c>
      <c r="I24" s="603">
        <v>92.433814457979494</v>
      </c>
      <c r="J24" s="603">
        <v>101.82169990735717</v>
      </c>
      <c r="K24" s="603">
        <v>99.540348314523484</v>
      </c>
      <c r="L24" s="603">
        <v>95.470449634684798</v>
      </c>
      <c r="M24" s="603">
        <v>103.07549873859892</v>
      </c>
      <c r="N24" s="603">
        <v>94.627749265506793</v>
      </c>
      <c r="O24" s="603">
        <v>96.048593759558671</v>
      </c>
      <c r="P24" s="533">
        <v>99.779146360537055</v>
      </c>
      <c r="Q24" s="603">
        <v>97.203351331678562</v>
      </c>
      <c r="R24" s="603">
        <v>96.295062526181752</v>
      </c>
      <c r="S24" s="603">
        <v>93.7369529087415</v>
      </c>
      <c r="T24" s="603">
        <v>97.987150341995786</v>
      </c>
      <c r="U24" s="603">
        <v>99.970196081836093</v>
      </c>
      <c r="V24" s="603">
        <v>96.070485511050876</v>
      </c>
      <c r="W24" s="603">
        <v>104.96119391855349</v>
      </c>
      <c r="X24" s="603">
        <v>99.646992079036067</v>
      </c>
      <c r="Y24" s="603">
        <v>102.29858465100988</v>
      </c>
      <c r="Z24" s="603">
        <v>100.10870545738511</v>
      </c>
      <c r="AA24" s="603">
        <v>100.13346462555835</v>
      </c>
      <c r="AB24" s="603">
        <v>100.55817162121471</v>
      </c>
      <c r="AC24" s="533">
        <v>104.12641976774357</v>
      </c>
      <c r="AD24" s="473"/>
      <c r="AE24" s="25"/>
      <c r="AF24" s="331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</row>
    <row r="25" spans="1:76" s="185" customFormat="1" ht="15" customHeight="1" x14ac:dyDescent="0.2">
      <c r="A25" s="449" t="s">
        <v>25</v>
      </c>
      <c r="B25" s="1119"/>
      <c r="C25" s="1120"/>
      <c r="D25" s="438"/>
      <c r="E25" s="438"/>
      <c r="F25" s="438"/>
      <c r="G25" s="438"/>
      <c r="H25" s="438"/>
      <c r="I25" s="438"/>
      <c r="J25" s="438"/>
      <c r="K25" s="438"/>
      <c r="L25" s="438"/>
      <c r="M25" s="438"/>
      <c r="N25" s="438"/>
      <c r="O25" s="438"/>
      <c r="P25" s="438"/>
      <c r="Q25" s="438"/>
      <c r="R25" s="438"/>
      <c r="S25" s="438"/>
      <c r="T25" s="438"/>
      <c r="U25" s="438"/>
      <c r="V25" s="438"/>
      <c r="W25" s="438"/>
      <c r="X25" s="438"/>
      <c r="Y25" s="438"/>
      <c r="Z25" s="438"/>
      <c r="AA25" s="438"/>
      <c r="AB25" s="66"/>
      <c r="AC25" s="438"/>
      <c r="AD25" s="473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</row>
    <row r="26" spans="1:76" s="185" customFormat="1" ht="17.25" customHeight="1" x14ac:dyDescent="0.2">
      <c r="A26" s="685" t="s">
        <v>275</v>
      </c>
      <c r="B26" s="1100">
        <v>100</v>
      </c>
      <c r="C26" s="1101">
        <v>98.910363468677389</v>
      </c>
      <c r="D26" s="432">
        <v>108.81406277466003</v>
      </c>
      <c r="E26" s="432">
        <v>107.24101681225886</v>
      </c>
      <c r="F26" s="432">
        <v>103.52428171711871</v>
      </c>
      <c r="G26" s="432">
        <v>96.946750095352172</v>
      </c>
      <c r="H26" s="432">
        <v>110.39795045707841</v>
      </c>
      <c r="I26" s="432">
        <v>101.10978233299713</v>
      </c>
      <c r="J26" s="432">
        <v>112.28186253257819</v>
      </c>
      <c r="K26" s="432">
        <v>102.10092720467688</v>
      </c>
      <c r="L26" s="432">
        <v>106.40976750914346</v>
      </c>
      <c r="M26" s="432">
        <v>101.05025721437315</v>
      </c>
      <c r="N26" s="432">
        <v>88.200238232449763</v>
      </c>
      <c r="O26" s="432">
        <v>92.471046054691215</v>
      </c>
      <c r="P26" s="612">
        <v>109.78372208344705</v>
      </c>
      <c r="Q26" s="432">
        <v>98.020444301596811</v>
      </c>
      <c r="R26" s="432">
        <v>99.986440471720897</v>
      </c>
      <c r="S26" s="432">
        <v>104.24806633092875</v>
      </c>
      <c r="T26" s="432">
        <v>98.051144573527722</v>
      </c>
      <c r="U26" s="432">
        <v>100.06201046368071</v>
      </c>
      <c r="V26" s="432">
        <v>101.17807910784504</v>
      </c>
      <c r="W26" s="432">
        <v>99.578931352796999</v>
      </c>
      <c r="X26" s="432">
        <v>89.799220657725272</v>
      </c>
      <c r="Y26" s="432">
        <v>92.008130157029143</v>
      </c>
      <c r="Z26" s="432">
        <v>92.123474821374401</v>
      </c>
      <c r="AA26" s="432">
        <v>98.872285592654649</v>
      </c>
      <c r="AB26" s="432">
        <v>89.945558562724344</v>
      </c>
      <c r="AC26" s="612">
        <v>82.115847675646762</v>
      </c>
      <c r="AD26" s="473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</row>
    <row r="27" spans="1:76" s="472" customFormat="1" ht="17.25" customHeight="1" x14ac:dyDescent="0.2">
      <c r="A27" s="758" t="s">
        <v>230</v>
      </c>
      <c r="B27" s="1122">
        <f>65+6.80750321321837</f>
        <v>71.807503213218368</v>
      </c>
      <c r="C27" s="1103">
        <f>65+5.75674505497412</f>
        <v>70.756745054974118</v>
      </c>
      <c r="D27" s="435">
        <f>65+4.12509294699652</f>
        <v>69.125092946996517</v>
      </c>
      <c r="E27" s="435">
        <f>65+6.12329154706455</f>
        <v>71.123291547064554</v>
      </c>
      <c r="F27" s="435">
        <f>65+4.401023666017</f>
        <v>69.401023666016997</v>
      </c>
      <c r="G27" s="435">
        <f>65+6.7348054972025</f>
        <v>71.734805497202501</v>
      </c>
      <c r="H27" s="435">
        <f>65+4.67766878622253</f>
        <v>69.677668786222526</v>
      </c>
      <c r="I27" s="435">
        <f>65+4.76789592701429</f>
        <v>69.767895927014294</v>
      </c>
      <c r="J27" s="435">
        <f>65+3.13036340555871</f>
        <v>68.130363405558711</v>
      </c>
      <c r="K27" s="435">
        <f>65+5.07978804552603</f>
        <v>70.07978804552603</v>
      </c>
      <c r="L27" s="435">
        <f>65+4.58731516922931</f>
        <v>69.587315169229313</v>
      </c>
      <c r="M27" s="435">
        <f>65+4.933523666017</f>
        <v>69.933523666016995</v>
      </c>
      <c r="N27" s="435">
        <f>65+6.41630800308232</f>
        <v>71.416308003082321</v>
      </c>
      <c r="O27" s="435">
        <f>65+6.36173513109414</f>
        <v>71.361735131094136</v>
      </c>
      <c r="P27" s="613">
        <f>65+5.04690283309102</f>
        <v>70.046902833091025</v>
      </c>
      <c r="Q27" s="435">
        <f>65+5.30620405811825</f>
        <v>70.306204058118254</v>
      </c>
      <c r="R27" s="435">
        <f>65+6.07028144166814</f>
        <v>71.070281441668143</v>
      </c>
      <c r="S27" s="435">
        <f>65+5.96414735906089</f>
        <v>70.964147359060888</v>
      </c>
      <c r="T27" s="435">
        <f>65+5.99602220821873</f>
        <v>70.996022208218733</v>
      </c>
      <c r="U27" s="435">
        <f>65+5.00680434341095</f>
        <v>70.006804343410948</v>
      </c>
      <c r="V27" s="435">
        <f>65+7.47995821373121</f>
        <v>72.479958213731209</v>
      </c>
      <c r="W27" s="435">
        <f>65+6.738523666017</f>
        <v>71.738523666017002</v>
      </c>
      <c r="X27" s="435">
        <f>65+10.0616189161454</f>
        <v>75.061618916145406</v>
      </c>
      <c r="Y27" s="435">
        <f>65+6.43600211955587</f>
        <v>71.436002119555866</v>
      </c>
      <c r="Z27" s="435">
        <f>65+6.62822366812894</f>
        <v>71.628223668128939</v>
      </c>
      <c r="AA27" s="435">
        <f>65+7.83324614807272</f>
        <v>72.833246148072718</v>
      </c>
      <c r="AB27" s="435">
        <f>65+7.28812618490052</f>
        <v>72.28812618490052</v>
      </c>
      <c r="AC27" s="613">
        <f>65+8.87435699935033</f>
        <v>73.874356999350326</v>
      </c>
      <c r="AD27" s="542"/>
      <c r="AE27" s="376"/>
      <c r="AF27" s="376"/>
      <c r="AG27" s="376"/>
      <c r="AH27" s="376"/>
      <c r="AI27" s="376"/>
      <c r="AJ27" s="376"/>
      <c r="AK27" s="376"/>
      <c r="AL27" s="376"/>
      <c r="AM27" s="376"/>
      <c r="AN27" s="376"/>
      <c r="AO27" s="376"/>
      <c r="AP27" s="376"/>
      <c r="AQ27" s="376"/>
      <c r="AR27" s="376"/>
      <c r="AS27" s="376"/>
      <c r="AT27" s="376"/>
      <c r="AU27" s="376"/>
      <c r="AV27" s="376"/>
      <c r="AW27" s="376"/>
      <c r="AX27" s="376"/>
      <c r="AY27" s="376"/>
      <c r="AZ27" s="376"/>
      <c r="BA27" s="376"/>
      <c r="BB27" s="376"/>
      <c r="BC27" s="376"/>
      <c r="BD27" s="376"/>
      <c r="BE27" s="376"/>
      <c r="BF27" s="376"/>
      <c r="BG27" s="376"/>
      <c r="BH27" s="376"/>
      <c r="BI27" s="376"/>
      <c r="BJ27" s="376"/>
      <c r="BK27" s="376"/>
      <c r="BL27" s="376"/>
      <c r="BM27" s="376"/>
      <c r="BN27" s="376"/>
      <c r="BO27" s="376"/>
      <c r="BP27" s="376"/>
      <c r="BQ27" s="376"/>
      <c r="BR27" s="376"/>
      <c r="BS27" s="376"/>
      <c r="BT27" s="376"/>
      <c r="BU27" s="376"/>
      <c r="BV27" s="376"/>
      <c r="BW27" s="376"/>
      <c r="BX27" s="376"/>
    </row>
    <row r="28" spans="1:76" s="185" customFormat="1" ht="17.25" customHeight="1" x14ac:dyDescent="0.2">
      <c r="A28" s="686" t="s">
        <v>276</v>
      </c>
      <c r="B28" s="1104">
        <v>100</v>
      </c>
      <c r="C28" s="1105">
        <v>96.007371421607772</v>
      </c>
      <c r="D28" s="602">
        <v>92.792613632635565</v>
      </c>
      <c r="E28" s="602">
        <v>96.904349391694069</v>
      </c>
      <c r="F28" s="602">
        <v>93.58163307630025</v>
      </c>
      <c r="G28" s="602">
        <v>96.783100260235443</v>
      </c>
      <c r="H28" s="602">
        <v>100.25094351720418</v>
      </c>
      <c r="I28" s="602">
        <v>96.331809990186173</v>
      </c>
      <c r="J28" s="602">
        <v>93.149905853287351</v>
      </c>
      <c r="K28" s="602">
        <v>90.544268137050963</v>
      </c>
      <c r="L28" s="602">
        <v>92.091899046821368</v>
      </c>
      <c r="M28" s="602">
        <v>97.546435859487417</v>
      </c>
      <c r="N28" s="602">
        <v>92.415714032812204</v>
      </c>
      <c r="O28" s="602">
        <v>97.044010603028539</v>
      </c>
      <c r="P28" s="530">
        <v>93.906489096168883</v>
      </c>
      <c r="Q28" s="602">
        <v>101.54711105325873</v>
      </c>
      <c r="R28" s="602">
        <v>96.467857853353877</v>
      </c>
      <c r="S28" s="602">
        <v>103.54309862522604</v>
      </c>
      <c r="T28" s="602">
        <v>98.987507481724876</v>
      </c>
      <c r="U28" s="602">
        <v>100.27762974081126</v>
      </c>
      <c r="V28" s="602">
        <v>93.893050633546338</v>
      </c>
      <c r="W28" s="602">
        <v>105.45608436487255</v>
      </c>
      <c r="X28" s="602">
        <v>93.588989697427309</v>
      </c>
      <c r="Y28" s="602">
        <v>105.06724756926377</v>
      </c>
      <c r="Z28" s="602">
        <v>100.11787632273455</v>
      </c>
      <c r="AA28" s="602">
        <v>105.59155162148197</v>
      </c>
      <c r="AB28" s="602">
        <v>99.230143221487168</v>
      </c>
      <c r="AC28" s="530">
        <v>109.16366280642112</v>
      </c>
      <c r="AD28" s="473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</row>
    <row r="29" spans="1:76" s="25" customFormat="1" ht="17.25" customHeight="1" x14ac:dyDescent="0.2">
      <c r="A29" s="778" t="s">
        <v>228</v>
      </c>
      <c r="B29" s="1122">
        <f>65+7.93347031992596</f>
        <v>72.933470319925959</v>
      </c>
      <c r="C29" s="1103">
        <f>65+8.4038924947439</f>
        <v>73.4038924947439</v>
      </c>
      <c r="D29" s="435">
        <f>65+8.39218530623715</f>
        <v>73.392185306237153</v>
      </c>
      <c r="E29" s="435">
        <f>65+8.27431807190457</f>
        <v>73.274318071904574</v>
      </c>
      <c r="F29" s="435">
        <f>65+8.33868789727886</f>
        <v>73.338687897278859</v>
      </c>
      <c r="G29" s="435">
        <f>65+11.3514666509288</f>
        <v>76.351466650928799</v>
      </c>
      <c r="H29" s="435">
        <f>65+10.4373129920491</f>
        <v>75.437312992049101</v>
      </c>
      <c r="I29" s="435">
        <f>65+7.2434823400269</f>
        <v>72.243482340026901</v>
      </c>
      <c r="J29" s="435">
        <f>65+7.81492235571112</f>
        <v>72.814922355711118</v>
      </c>
      <c r="K29" s="435">
        <f>65+8.97794620009201</f>
        <v>73.977946200092006</v>
      </c>
      <c r="L29" s="435">
        <f>65+7.78996308401491</f>
        <v>72.789963084014914</v>
      </c>
      <c r="M29" s="435">
        <f>65+7.75368789727887</f>
        <v>72.753687897278866</v>
      </c>
      <c r="N29" s="435">
        <f>65+9.7651912512395</f>
        <v>74.7651912512395</v>
      </c>
      <c r="O29" s="435">
        <f>65+9.79450000125115</f>
        <v>74.794500001251151</v>
      </c>
      <c r="P29" s="613">
        <f>65+8.9008716237561</f>
        <v>73.900871623756103</v>
      </c>
      <c r="Q29" s="435">
        <f>65+6.94885197290382</f>
        <v>71.948851972903825</v>
      </c>
      <c r="R29" s="435">
        <f>65+8.35007076773242</f>
        <v>73.350070767732419</v>
      </c>
      <c r="S29" s="435">
        <f>65+6.43408952240834</f>
        <v>71.434089522408343</v>
      </c>
      <c r="T29" s="435">
        <f>65+7.47413927729069</f>
        <v>72.474139277290689</v>
      </c>
      <c r="U29" s="435">
        <f>65+8.52247153931857</f>
        <v>73.522471539318573</v>
      </c>
      <c r="V29" s="435">
        <f>65+9.49931807190454</f>
        <v>74.49931807190454</v>
      </c>
      <c r="W29" s="435">
        <f>65+7.62202123061219</f>
        <v>72.622021230612191</v>
      </c>
      <c r="X29" s="435">
        <f>65+10.2991851419757</f>
        <v>75.299185141975698</v>
      </c>
      <c r="Y29" s="435">
        <f>65+8.08064632538239</f>
        <v>73.080646325382389</v>
      </c>
      <c r="Z29" s="435">
        <f>65+8.65309939611596</f>
        <v>73.653099396115962</v>
      </c>
      <c r="AA29" s="435">
        <f>65+7.42560565290383</f>
        <v>72.425605652903826</v>
      </c>
      <c r="AB29" s="435">
        <f>65+8.05610034214858</f>
        <v>73.056100342148582</v>
      </c>
      <c r="AC29" s="613">
        <f>65+6.7420212306122</f>
        <v>71.742021230612195</v>
      </c>
      <c r="AD29" s="473"/>
      <c r="AE29" s="415"/>
      <c r="AF29" s="415"/>
      <c r="AG29" s="415"/>
      <c r="AH29" s="415"/>
      <c r="AI29" s="415"/>
      <c r="AJ29" s="415"/>
      <c r="AK29" s="415"/>
      <c r="AL29" s="415"/>
      <c r="AM29" s="415"/>
      <c r="AN29" s="415"/>
      <c r="AO29" s="415"/>
      <c r="AP29" s="415"/>
      <c r="AQ29" s="415"/>
      <c r="AR29" s="415"/>
      <c r="AS29" s="415"/>
      <c r="AT29" s="415"/>
      <c r="AU29" s="415"/>
      <c r="AV29" s="415"/>
      <c r="AW29" s="415"/>
      <c r="AX29" s="415"/>
      <c r="AY29" s="415"/>
      <c r="AZ29" s="415"/>
      <c r="BA29" s="415"/>
    </row>
    <row r="30" spans="1:76" s="185" customFormat="1" ht="17.25" customHeight="1" x14ac:dyDescent="0.2">
      <c r="A30" s="686" t="s">
        <v>277</v>
      </c>
      <c r="B30" s="1104">
        <v>100</v>
      </c>
      <c r="C30" s="1105">
        <v>96.377743774460185</v>
      </c>
      <c r="D30" s="602">
        <v>92.287991087444126</v>
      </c>
      <c r="E30" s="602">
        <v>97.832054462793565</v>
      </c>
      <c r="F30" s="602">
        <v>97.932115883633713</v>
      </c>
      <c r="G30" s="602">
        <v>100.79927807773183</v>
      </c>
      <c r="H30" s="602">
        <v>98.766553671562207</v>
      </c>
      <c r="I30" s="602">
        <v>95.814575094066441</v>
      </c>
      <c r="J30" s="602">
        <v>91.794427321135956</v>
      </c>
      <c r="K30" s="602">
        <v>95.55326735867844</v>
      </c>
      <c r="L30" s="602">
        <v>94.843902380859021</v>
      </c>
      <c r="M30" s="602">
        <v>100.82939889094176</v>
      </c>
      <c r="N30" s="602">
        <v>97.934134239890597</v>
      </c>
      <c r="O30" s="602">
        <v>97.655167262397313</v>
      </c>
      <c r="P30" s="530">
        <v>94.211084050675908</v>
      </c>
      <c r="Q30" s="602">
        <v>96.30275585885903</v>
      </c>
      <c r="R30" s="602">
        <v>97.280105473360834</v>
      </c>
      <c r="S30" s="602">
        <v>97.377750767518762</v>
      </c>
      <c r="T30" s="602">
        <v>95.287134359637065</v>
      </c>
      <c r="U30" s="602">
        <v>101.78767080733297</v>
      </c>
      <c r="V30" s="602">
        <v>94.820980884201504</v>
      </c>
      <c r="W30" s="602">
        <v>102.26782842024976</v>
      </c>
      <c r="X30" s="602">
        <v>95.892107253961939</v>
      </c>
      <c r="Y30" s="602">
        <v>100.20790090782623</v>
      </c>
      <c r="Z30" s="602">
        <v>103.73135841169174</v>
      </c>
      <c r="AA30" s="602">
        <v>98.424192864416611</v>
      </c>
      <c r="AB30" s="602">
        <v>99.745234521305917</v>
      </c>
      <c r="AC30" s="530">
        <v>100.44717927970576</v>
      </c>
      <c r="AD30" s="473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</row>
    <row r="31" spans="1:76" s="185" customFormat="1" ht="17.25" customHeight="1" x14ac:dyDescent="0.2">
      <c r="A31" s="689" t="s">
        <v>279</v>
      </c>
      <c r="B31" s="1123">
        <v>100</v>
      </c>
      <c r="C31" s="1146">
        <v>94.987195688794898</v>
      </c>
      <c r="D31" s="604">
        <v>93.839924184782333</v>
      </c>
      <c r="E31" s="604">
        <v>105.68669537881664</v>
      </c>
      <c r="F31" s="604">
        <v>99.574150988224503</v>
      </c>
      <c r="G31" s="604">
        <v>102.32496983055506</v>
      </c>
      <c r="H31" s="604">
        <v>99.572835166856677</v>
      </c>
      <c r="I31" s="604">
        <v>93.724580994009614</v>
      </c>
      <c r="J31" s="604">
        <v>97.515841802194842</v>
      </c>
      <c r="K31" s="604">
        <v>94.22871088672251</v>
      </c>
      <c r="L31" s="604">
        <v>91.863559161148928</v>
      </c>
      <c r="M31" s="604">
        <v>96.91666581520326</v>
      </c>
      <c r="N31" s="604">
        <v>95.42780646388529</v>
      </c>
      <c r="O31" s="604">
        <v>95.448208071316373</v>
      </c>
      <c r="P31" s="614">
        <v>95.640534474754347</v>
      </c>
      <c r="Q31" s="604">
        <v>95.968889897622844</v>
      </c>
      <c r="R31" s="604">
        <v>97.966914015482246</v>
      </c>
      <c r="S31" s="604">
        <v>93.454787466918432</v>
      </c>
      <c r="T31" s="604">
        <v>94.374274913614755</v>
      </c>
      <c r="U31" s="604">
        <v>98.294125050397881</v>
      </c>
      <c r="V31" s="604">
        <v>92.700748924095265</v>
      </c>
      <c r="W31" s="604">
        <v>102.81784612588275</v>
      </c>
      <c r="X31" s="604">
        <v>98.277498839479591</v>
      </c>
      <c r="Y31" s="604">
        <v>96.580372871185745</v>
      </c>
      <c r="Z31" s="604">
        <v>96.439572155567461</v>
      </c>
      <c r="AA31" s="604">
        <v>97.364296230105978</v>
      </c>
      <c r="AB31" s="604">
        <v>96.496688009794894</v>
      </c>
      <c r="AC31" s="614">
        <v>104.14100576034923</v>
      </c>
      <c r="AD31" s="473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</row>
    <row r="32" spans="1:76" s="25" customFormat="1" ht="17.25" customHeight="1" x14ac:dyDescent="0.2">
      <c r="A32" s="455" t="s">
        <v>15</v>
      </c>
      <c r="B32" s="1108"/>
      <c r="C32" s="1109"/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29"/>
      <c r="AA32" s="429"/>
      <c r="AB32" s="429"/>
      <c r="AC32" s="429"/>
      <c r="AD32" s="473"/>
    </row>
    <row r="33" spans="1:76" s="25" customFormat="1" ht="17.25" customHeight="1" x14ac:dyDescent="0.2">
      <c r="A33" s="461" t="s">
        <v>294</v>
      </c>
      <c r="B33" s="1124">
        <v>7.0653158737759414</v>
      </c>
      <c r="C33" s="1124">
        <v>6.8953209466876171</v>
      </c>
      <c r="D33" s="745">
        <v>7.0360188194363742</v>
      </c>
      <c r="E33" s="814">
        <v>7.405900590323224</v>
      </c>
      <c r="F33" s="814">
        <v>7.0783693632909914</v>
      </c>
      <c r="G33" s="743">
        <v>6.9247473210863841</v>
      </c>
      <c r="H33" s="743">
        <v>7.4676182981854575</v>
      </c>
      <c r="I33" s="462">
        <v>6.8860136184502938</v>
      </c>
      <c r="J33" s="814">
        <v>6.875635358930869</v>
      </c>
      <c r="K33" s="470">
        <v>7.0451232390523293</v>
      </c>
      <c r="L33" s="814">
        <v>7.1193521527697072</v>
      </c>
      <c r="M33" s="743">
        <v>6.7658693632909923</v>
      </c>
      <c r="N33" s="462">
        <v>6.7180848579618555</v>
      </c>
      <c r="O33" s="462">
        <v>6.7389422984469123</v>
      </c>
      <c r="P33" s="469">
        <v>7.0980070981322338</v>
      </c>
      <c r="Q33" s="743">
        <v>6.7860188194363733</v>
      </c>
      <c r="R33" s="462">
        <v>6.726228430429388</v>
      </c>
      <c r="S33" s="462">
        <v>6.9459888631516113</v>
      </c>
      <c r="T33" s="462">
        <v>6.7408642426494083</v>
      </c>
      <c r="U33" s="462">
        <v>6.9372651667615672</v>
      </c>
      <c r="V33" s="462">
        <v>7.1559006174370721</v>
      </c>
      <c r="W33" s="743">
        <v>7.2033693632909914</v>
      </c>
      <c r="X33" s="462">
        <v>7.2497651667615672</v>
      </c>
      <c r="Y33" s="743">
        <v>7.1342849829280217</v>
      </c>
      <c r="Z33" s="743">
        <v>6.9035134960000004</v>
      </c>
      <c r="AA33" s="462">
        <v>7.0546905170931229</v>
      </c>
      <c r="AB33" s="462">
        <v>6.8629751833945276</v>
      </c>
      <c r="AC33" s="746">
        <v>6.8596193632909914</v>
      </c>
      <c r="AD33" s="473"/>
    </row>
    <row r="34" spans="1:76" s="25" customFormat="1" ht="17.25" customHeight="1" x14ac:dyDescent="0.2">
      <c r="A34" s="455" t="s">
        <v>16</v>
      </c>
      <c r="B34" s="1108"/>
      <c r="C34" s="1108"/>
      <c r="D34" s="456"/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458"/>
      <c r="P34" s="619"/>
      <c r="Q34" s="458"/>
      <c r="R34" s="458"/>
      <c r="S34" s="458"/>
      <c r="T34" s="458"/>
      <c r="U34" s="458"/>
      <c r="V34" s="458"/>
      <c r="W34" s="458"/>
      <c r="X34" s="458"/>
      <c r="Y34" s="458"/>
      <c r="Z34" s="458"/>
      <c r="AA34" s="458"/>
      <c r="AB34" s="458"/>
      <c r="AC34" s="619"/>
      <c r="AD34" s="473"/>
    </row>
    <row r="35" spans="1:76" s="25" customFormat="1" ht="17.25" customHeight="1" x14ac:dyDescent="0.2">
      <c r="A35" s="463" t="s">
        <v>6</v>
      </c>
      <c r="B35" s="1128">
        <v>5.3142878503785065</v>
      </c>
      <c r="C35" s="1154">
        <v>5.8371674599578869</v>
      </c>
      <c r="D35" s="607">
        <v>7.0815325126549578</v>
      </c>
      <c r="E35" s="465">
        <v>7.6142619295119296</v>
      </c>
      <c r="F35" s="465">
        <v>4.3693396799160489</v>
      </c>
      <c r="G35" s="507">
        <v>6.5411726319239083</v>
      </c>
      <c r="H35" s="507">
        <v>3.1208112804571417</v>
      </c>
      <c r="I35" s="464">
        <v>6.7727376670001354</v>
      </c>
      <c r="J35" s="465">
        <v>6.3587957235382193</v>
      </c>
      <c r="K35" s="465">
        <v>6.0604056402285709</v>
      </c>
      <c r="L35" s="465">
        <v>6.2868772604248075</v>
      </c>
      <c r="M35" s="507">
        <v>4.5996906358757004</v>
      </c>
      <c r="N35" s="464">
        <v>5.6771168392493845</v>
      </c>
      <c r="O35" s="464">
        <v>4.9009315082570284</v>
      </c>
      <c r="P35" s="620">
        <v>6.3165297653970525</v>
      </c>
      <c r="Q35" s="507">
        <v>4.4389776365380538</v>
      </c>
      <c r="R35" s="507">
        <v>6.5667239161985744</v>
      </c>
      <c r="S35" s="464">
        <v>5.1422684774598428</v>
      </c>
      <c r="T35" s="507">
        <v>6.7727376670001354</v>
      </c>
      <c r="U35" s="507">
        <v>3.3711053482943916</v>
      </c>
      <c r="V35" s="507">
        <v>7.2563178328605868</v>
      </c>
      <c r="W35" s="464">
        <v>4.8814583891867747</v>
      </c>
      <c r="X35" s="507">
        <v>6.3768401688040441</v>
      </c>
      <c r="Y35" s="507">
        <v>6.5018251662463662</v>
      </c>
      <c r="Z35" s="507">
        <v>8.3071309647559648</v>
      </c>
      <c r="AA35" s="464">
        <v>3.7689534985817605</v>
      </c>
      <c r="AB35" s="464">
        <v>4.1996625118644006</v>
      </c>
      <c r="AC35" s="620">
        <v>4.4389776365380538</v>
      </c>
      <c r="AD35" s="473"/>
    </row>
    <row r="36" spans="1:76" s="25" customFormat="1" ht="17.25" customHeight="1" x14ac:dyDescent="0.2">
      <c r="A36" s="466" t="s">
        <v>7</v>
      </c>
      <c r="B36" s="1131">
        <v>5.5386407434438247</v>
      </c>
      <c r="C36" s="1154">
        <v>4.6493557678132929</v>
      </c>
      <c r="D36" s="669" t="s">
        <v>256</v>
      </c>
      <c r="E36" s="436" t="s">
        <v>257</v>
      </c>
      <c r="F36" s="738" t="s">
        <v>217</v>
      </c>
      <c r="G36" s="435" t="s">
        <v>133</v>
      </c>
      <c r="H36" s="467" t="s">
        <v>258</v>
      </c>
      <c r="I36" s="435">
        <v>5.5423656063718933</v>
      </c>
      <c r="J36" s="436">
        <v>5.8434524559259362</v>
      </c>
      <c r="K36" s="436">
        <v>4.0852817374746691</v>
      </c>
      <c r="L36" s="436" t="s">
        <v>218</v>
      </c>
      <c r="M36" s="733" t="s">
        <v>259</v>
      </c>
      <c r="N36" s="435">
        <v>4.7222868258846527</v>
      </c>
      <c r="O36" s="435">
        <v>4.7509006130710478</v>
      </c>
      <c r="P36" s="549">
        <v>3.9869776381907087</v>
      </c>
      <c r="Q36" s="435" t="s">
        <v>259</v>
      </c>
      <c r="R36" s="435">
        <v>4.5271126998324673</v>
      </c>
      <c r="S36" s="435">
        <v>5.3367852915779013</v>
      </c>
      <c r="T36" s="435">
        <v>4.779708398700393</v>
      </c>
      <c r="U36" s="467">
        <v>4.7509006130710478</v>
      </c>
      <c r="V36" s="467" t="s">
        <v>133</v>
      </c>
      <c r="W36" s="733" t="s">
        <v>215</v>
      </c>
      <c r="X36" s="467">
        <v>4.2365402069504139</v>
      </c>
      <c r="Y36" s="467" t="s">
        <v>259</v>
      </c>
      <c r="Z36" s="467" t="s">
        <v>257</v>
      </c>
      <c r="AA36" s="435">
        <v>2.9908660191338718</v>
      </c>
      <c r="AB36" s="467">
        <v>4.7509006130710478</v>
      </c>
      <c r="AC36" s="740" t="s">
        <v>258</v>
      </c>
      <c r="AD36" s="473"/>
    </row>
    <row r="37" spans="1:76" s="25" customFormat="1" ht="17.25" customHeight="1" x14ac:dyDescent="0.2">
      <c r="A37" s="461" t="s">
        <v>8</v>
      </c>
      <c r="B37" s="1133">
        <v>6.3913264353079944</v>
      </c>
      <c r="C37" s="1155">
        <v>6.4276982349534668</v>
      </c>
      <c r="D37" s="468">
        <v>6.7470121837879375</v>
      </c>
      <c r="E37" s="470" t="s">
        <v>5</v>
      </c>
      <c r="F37" s="470">
        <v>7.0827908564791375</v>
      </c>
      <c r="G37" s="462">
        <v>5.0578121556678708</v>
      </c>
      <c r="H37" s="503" t="s">
        <v>123</v>
      </c>
      <c r="I37" s="462">
        <v>6.4209982163635484</v>
      </c>
      <c r="J37" s="470" t="s">
        <v>260</v>
      </c>
      <c r="K37" s="470">
        <v>6.1934931854705937</v>
      </c>
      <c r="L37" s="470">
        <v>7.0376738803144878</v>
      </c>
      <c r="M37" s="462">
        <v>6.4897839933583406</v>
      </c>
      <c r="N37" s="462">
        <v>5.499671015461546</v>
      </c>
      <c r="O37" s="462">
        <v>5.8413807921814946</v>
      </c>
      <c r="P37" s="469">
        <v>7.2250092394606664</v>
      </c>
      <c r="Q37" s="462">
        <v>6.3540000000000001</v>
      </c>
      <c r="R37" s="462">
        <v>6.6333456526142225</v>
      </c>
      <c r="S37" s="503">
        <v>6.950417213187035</v>
      </c>
      <c r="T37" s="462">
        <v>6.28865682732709</v>
      </c>
      <c r="U37" s="739" t="s">
        <v>5</v>
      </c>
      <c r="V37" s="739" t="s">
        <v>5</v>
      </c>
      <c r="W37" s="462">
        <v>6.6706181292025128</v>
      </c>
      <c r="X37" s="739" t="s">
        <v>5</v>
      </c>
      <c r="Y37" s="503" t="s">
        <v>123</v>
      </c>
      <c r="Z37" s="503" t="s">
        <v>5</v>
      </c>
      <c r="AA37" s="462">
        <v>7.4346052893918415</v>
      </c>
      <c r="AB37" s="462">
        <v>6.5966511489174113</v>
      </c>
      <c r="AC37" s="469">
        <v>7.0827908564791375</v>
      </c>
      <c r="AD37" s="473"/>
    </row>
    <row r="38" spans="1:76" s="25" customFormat="1" ht="11.25" customHeight="1" x14ac:dyDescent="0.2">
      <c r="A38" s="502"/>
      <c r="B38" s="212" t="s">
        <v>5</v>
      </c>
      <c r="C38" s="212" t="s">
        <v>5</v>
      </c>
      <c r="D38" s="633"/>
      <c r="E38" s="438"/>
      <c r="F38" s="438"/>
      <c r="G38" s="438"/>
      <c r="H38" s="438"/>
      <c r="I38" s="66"/>
      <c r="J38" s="438"/>
      <c r="K38" s="438"/>
      <c r="L38" s="438"/>
      <c r="M38" s="438"/>
      <c r="N38" s="438"/>
      <c r="O38" s="438"/>
      <c r="P38" s="489"/>
      <c r="Q38" s="438"/>
      <c r="R38" s="438"/>
      <c r="S38" s="438"/>
      <c r="T38" s="438"/>
      <c r="U38" s="438"/>
      <c r="V38" s="438"/>
      <c r="W38" s="438"/>
      <c r="X38" s="438"/>
      <c r="Y38" s="438"/>
      <c r="Z38" s="438"/>
      <c r="AA38" s="438"/>
      <c r="AB38" s="490"/>
      <c r="AC38" s="489"/>
      <c r="AD38" s="473"/>
    </row>
    <row r="39" spans="1:76" s="25" customFormat="1" ht="15" customHeight="1" x14ac:dyDescent="0.2">
      <c r="A39" s="275" t="s">
        <v>9</v>
      </c>
      <c r="B39" s="1212"/>
      <c r="C39" s="1212"/>
      <c r="D39" s="675">
        <v>2019</v>
      </c>
      <c r="E39" s="1001">
        <v>2021</v>
      </c>
      <c r="F39" s="214">
        <v>2018</v>
      </c>
      <c r="G39" s="674">
        <v>2020</v>
      </c>
      <c r="H39" s="674">
        <v>2020</v>
      </c>
      <c r="I39" s="214">
        <v>2010</v>
      </c>
      <c r="J39" s="674">
        <v>2019</v>
      </c>
      <c r="K39" s="615">
        <v>2001</v>
      </c>
      <c r="L39" s="737">
        <v>2019</v>
      </c>
      <c r="M39" s="214">
        <v>2018</v>
      </c>
      <c r="N39" s="65">
        <v>2000</v>
      </c>
      <c r="O39" s="65">
        <v>2009</v>
      </c>
      <c r="P39" s="93">
        <v>2015</v>
      </c>
      <c r="Q39" s="674">
        <v>2019</v>
      </c>
      <c r="R39" s="214">
        <v>2015</v>
      </c>
      <c r="S39" s="214">
        <v>2012</v>
      </c>
      <c r="T39" s="214">
        <v>2015</v>
      </c>
      <c r="U39" s="214">
        <v>2017</v>
      </c>
      <c r="V39" s="214">
        <v>2021</v>
      </c>
      <c r="W39" s="214">
        <v>2018</v>
      </c>
      <c r="X39" s="214">
        <v>2017</v>
      </c>
      <c r="Y39" s="674">
        <v>2020</v>
      </c>
      <c r="Z39" s="674">
        <v>2021</v>
      </c>
      <c r="AA39" s="65">
        <v>2009</v>
      </c>
      <c r="AB39" s="65">
        <v>1998</v>
      </c>
      <c r="AC39" s="438">
        <v>2018</v>
      </c>
      <c r="AD39" s="473"/>
    </row>
    <row r="40" spans="1:76" s="25" customFormat="1" ht="15" customHeight="1" x14ac:dyDescent="0.2">
      <c r="A40" s="1289" t="s">
        <v>405</v>
      </c>
      <c r="B40" s="213" t="s">
        <v>5</v>
      </c>
      <c r="C40" s="213" t="s">
        <v>5</v>
      </c>
      <c r="D40" s="1290" t="s">
        <v>411</v>
      </c>
      <c r="E40" s="1295" t="s">
        <v>415</v>
      </c>
      <c r="F40" s="1291" t="s">
        <v>409</v>
      </c>
      <c r="G40" s="1291" t="s">
        <v>413</v>
      </c>
      <c r="H40" s="1291" t="s">
        <v>409</v>
      </c>
      <c r="I40" s="1290" t="s">
        <v>415</v>
      </c>
      <c r="J40" s="1290" t="s">
        <v>409</v>
      </c>
      <c r="K40" s="1290" t="s">
        <v>413</v>
      </c>
      <c r="L40" s="1293" t="s">
        <v>416</v>
      </c>
      <c r="M40" s="1290" t="s">
        <v>407</v>
      </c>
      <c r="N40" s="1290" t="s">
        <v>421</v>
      </c>
      <c r="O40" s="1290" t="s">
        <v>409</v>
      </c>
      <c r="P40" s="1290" t="s">
        <v>409</v>
      </c>
      <c r="Q40" s="1292" t="s">
        <v>407</v>
      </c>
      <c r="R40" s="1290" t="s">
        <v>415</v>
      </c>
      <c r="S40" s="1290" t="s">
        <v>409</v>
      </c>
      <c r="T40" s="1290" t="s">
        <v>415</v>
      </c>
      <c r="U40" s="1290" t="s">
        <v>422</v>
      </c>
      <c r="V40" s="1295" t="s">
        <v>415</v>
      </c>
      <c r="W40" s="1290" t="s">
        <v>413</v>
      </c>
      <c r="X40" s="1290" t="s">
        <v>413</v>
      </c>
      <c r="Y40" s="1290" t="s">
        <v>415</v>
      </c>
      <c r="Z40" s="1295" t="s">
        <v>423</v>
      </c>
      <c r="AA40" s="1290" t="s">
        <v>413</v>
      </c>
      <c r="AB40" s="1290" t="s">
        <v>415</v>
      </c>
      <c r="AC40" s="1290" t="s">
        <v>415</v>
      </c>
      <c r="AD40" s="473"/>
    </row>
    <row r="41" spans="1:76" s="25" customFormat="1" ht="15" customHeight="1" x14ac:dyDescent="0.2">
      <c r="A41" s="1289" t="s">
        <v>406</v>
      </c>
      <c r="B41" s="213" t="s">
        <v>5</v>
      </c>
      <c r="C41" s="213" t="s">
        <v>5</v>
      </c>
      <c r="D41" s="1290" t="s">
        <v>412</v>
      </c>
      <c r="E41" s="1295" t="s">
        <v>408</v>
      </c>
      <c r="F41" s="1291" t="s">
        <v>410</v>
      </c>
      <c r="G41" s="1291" t="s">
        <v>414</v>
      </c>
      <c r="H41" s="1291" t="s">
        <v>410</v>
      </c>
      <c r="I41" s="1290" t="s">
        <v>408</v>
      </c>
      <c r="J41" s="1291" t="s">
        <v>410</v>
      </c>
      <c r="K41" s="1290" t="s">
        <v>414</v>
      </c>
      <c r="L41" s="1290" t="s">
        <v>417</v>
      </c>
      <c r="M41" s="1290" t="s">
        <v>420</v>
      </c>
      <c r="N41" s="1291" t="s">
        <v>408</v>
      </c>
      <c r="O41" s="1290" t="s">
        <v>410</v>
      </c>
      <c r="P41" s="1290" t="s">
        <v>410</v>
      </c>
      <c r="Q41" s="1290" t="s">
        <v>417</v>
      </c>
      <c r="R41" s="1290" t="s">
        <v>408</v>
      </c>
      <c r="S41" s="1290" t="s">
        <v>410</v>
      </c>
      <c r="T41" s="1290" t="s">
        <v>419</v>
      </c>
      <c r="U41" s="1290" t="s">
        <v>408</v>
      </c>
      <c r="V41" s="1295" t="s">
        <v>408</v>
      </c>
      <c r="W41" s="1290" t="s">
        <v>414</v>
      </c>
      <c r="X41" s="1290" t="s">
        <v>414</v>
      </c>
      <c r="Y41" s="1290" t="s">
        <v>408</v>
      </c>
      <c r="Z41" s="1295" t="s">
        <v>414</v>
      </c>
      <c r="AA41" s="1290" t="s">
        <v>414</v>
      </c>
      <c r="AB41" s="1290" t="s">
        <v>408</v>
      </c>
      <c r="AC41" s="1290" t="s">
        <v>408</v>
      </c>
      <c r="AD41" s="473"/>
    </row>
    <row r="42" spans="1:76" s="185" customFormat="1" ht="16.5" customHeight="1" x14ac:dyDescent="0.2">
      <c r="A42" s="474" t="s">
        <v>10</v>
      </c>
      <c r="B42" s="475"/>
      <c r="C42" s="476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478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438"/>
      <c r="AB42" s="479"/>
      <c r="AC42" s="478"/>
      <c r="AD42" s="473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</row>
    <row r="43" spans="1:76" s="185" customFormat="1" ht="16.5" customHeight="1" x14ac:dyDescent="0.2">
      <c r="A43" s="463" t="s">
        <v>27</v>
      </c>
      <c r="B43" s="480" t="s">
        <v>5</v>
      </c>
      <c r="C43" s="481" t="s">
        <v>5</v>
      </c>
      <c r="D43" s="483">
        <v>9</v>
      </c>
      <c r="E43" s="483">
        <v>6</v>
      </c>
      <c r="F43" s="483">
        <v>12</v>
      </c>
      <c r="G43" s="483">
        <v>5</v>
      </c>
      <c r="H43" s="483">
        <v>6</v>
      </c>
      <c r="I43" s="483">
        <v>14</v>
      </c>
      <c r="J43" s="483">
        <v>8</v>
      </c>
      <c r="K43" s="483">
        <v>10</v>
      </c>
      <c r="L43" s="483">
        <v>9</v>
      </c>
      <c r="M43" s="483">
        <v>12</v>
      </c>
      <c r="N43" s="483">
        <v>11</v>
      </c>
      <c r="O43" s="483">
        <v>25</v>
      </c>
      <c r="P43" s="546">
        <v>15</v>
      </c>
      <c r="Q43" s="483">
        <v>9</v>
      </c>
      <c r="R43" s="483">
        <v>14</v>
      </c>
      <c r="S43" s="483">
        <v>15</v>
      </c>
      <c r="T43" s="483">
        <v>15</v>
      </c>
      <c r="U43" s="483">
        <v>13</v>
      </c>
      <c r="V43" s="483">
        <v>6</v>
      </c>
      <c r="W43" s="483">
        <v>12</v>
      </c>
      <c r="X43" s="483">
        <v>13</v>
      </c>
      <c r="Y43" s="483">
        <v>6</v>
      </c>
      <c r="Z43" s="483">
        <v>6</v>
      </c>
      <c r="AA43" s="484">
        <v>31</v>
      </c>
      <c r="AB43" s="483">
        <v>11</v>
      </c>
      <c r="AC43" s="546">
        <v>12</v>
      </c>
      <c r="AD43" s="473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</row>
    <row r="44" spans="1:76" s="185" customFormat="1" ht="16.5" customHeight="1" x14ac:dyDescent="0.2">
      <c r="A44" s="466" t="s">
        <v>28</v>
      </c>
      <c r="B44" s="485" t="s">
        <v>5</v>
      </c>
      <c r="C44" s="486" t="s">
        <v>5</v>
      </c>
      <c r="D44" s="488">
        <v>6</v>
      </c>
      <c r="E44" s="488">
        <v>6</v>
      </c>
      <c r="F44" s="488">
        <v>9</v>
      </c>
      <c r="G44" s="488">
        <v>6</v>
      </c>
      <c r="H44" s="488">
        <v>6</v>
      </c>
      <c r="I44" s="488">
        <v>13</v>
      </c>
      <c r="J44" s="488">
        <v>6</v>
      </c>
      <c r="K44" s="488">
        <v>10</v>
      </c>
      <c r="L44" s="488">
        <v>6</v>
      </c>
      <c r="M44" s="488">
        <v>9</v>
      </c>
      <c r="N44" s="488">
        <v>11</v>
      </c>
      <c r="O44" s="488">
        <v>23</v>
      </c>
      <c r="P44" s="547">
        <v>14</v>
      </c>
      <c r="Q44" s="488">
        <v>6</v>
      </c>
      <c r="R44" s="488">
        <v>13</v>
      </c>
      <c r="S44" s="488">
        <v>13</v>
      </c>
      <c r="T44" s="488">
        <v>14</v>
      </c>
      <c r="U44" s="488">
        <v>12</v>
      </c>
      <c r="V44" s="488">
        <v>6</v>
      </c>
      <c r="W44" s="488">
        <v>9</v>
      </c>
      <c r="X44" s="488">
        <v>12</v>
      </c>
      <c r="Y44" s="488">
        <v>6</v>
      </c>
      <c r="Z44" s="488">
        <v>6</v>
      </c>
      <c r="AA44" s="488">
        <v>29</v>
      </c>
      <c r="AB44" s="488">
        <v>10</v>
      </c>
      <c r="AC44" s="547">
        <v>9</v>
      </c>
      <c r="AD44" s="473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</row>
    <row r="45" spans="1:76" s="185" customFormat="1" ht="16.5" customHeight="1" thickBot="1" x14ac:dyDescent="0.25">
      <c r="A45" s="493" t="s">
        <v>29</v>
      </c>
      <c r="B45" s="494" t="s">
        <v>5</v>
      </c>
      <c r="C45" s="495" t="s">
        <v>5</v>
      </c>
      <c r="D45" s="496">
        <v>6</v>
      </c>
      <c r="E45" s="496">
        <v>6</v>
      </c>
      <c r="F45" s="496">
        <v>6</v>
      </c>
      <c r="G45" s="496">
        <v>6</v>
      </c>
      <c r="H45" s="496">
        <v>6</v>
      </c>
      <c r="I45" s="496">
        <v>12</v>
      </c>
      <c r="J45" s="496">
        <v>6</v>
      </c>
      <c r="K45" s="496">
        <v>10</v>
      </c>
      <c r="L45" s="496">
        <v>6</v>
      </c>
      <c r="M45" s="496">
        <v>6</v>
      </c>
      <c r="N45" s="496">
        <v>11</v>
      </c>
      <c r="O45" s="496">
        <v>20</v>
      </c>
      <c r="P45" s="548">
        <v>13</v>
      </c>
      <c r="Q45" s="496">
        <v>6</v>
      </c>
      <c r="R45" s="496">
        <v>12</v>
      </c>
      <c r="S45" s="496">
        <v>13</v>
      </c>
      <c r="T45" s="496">
        <v>13</v>
      </c>
      <c r="U45" s="496">
        <v>9</v>
      </c>
      <c r="V45" s="496">
        <v>6</v>
      </c>
      <c r="W45" s="496">
        <v>6</v>
      </c>
      <c r="X45" s="496">
        <v>9</v>
      </c>
      <c r="Y45" s="496">
        <v>6</v>
      </c>
      <c r="Z45" s="496">
        <v>6</v>
      </c>
      <c r="AA45" s="496">
        <v>26</v>
      </c>
      <c r="AB45" s="496">
        <v>10</v>
      </c>
      <c r="AC45" s="548">
        <v>6</v>
      </c>
      <c r="AD45" s="473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</row>
    <row r="46" spans="1:76" s="8" customFormat="1" x14ac:dyDescent="0.2">
      <c r="A46" s="6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</row>
    <row r="47" spans="1:76" s="8" customFormat="1" x14ac:dyDescent="0.2">
      <c r="A47" s="8" t="s">
        <v>77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</row>
    <row r="48" spans="1:76" x14ac:dyDescent="0.2">
      <c r="A48" s="1" t="s">
        <v>72</v>
      </c>
      <c r="B48" s="2"/>
      <c r="C48" s="2"/>
      <c r="P48" s="91"/>
      <c r="AA48" s="91"/>
      <c r="AB48" s="91"/>
      <c r="AC48" s="91"/>
    </row>
    <row r="49" spans="1:29" x14ac:dyDescent="0.2">
      <c r="A49" s="807" t="s">
        <v>366</v>
      </c>
      <c r="B49" s="2"/>
      <c r="C49" s="2"/>
      <c r="P49" s="91"/>
      <c r="AA49" s="91"/>
      <c r="AB49" s="91"/>
      <c r="AC49" s="91"/>
    </row>
    <row r="50" spans="1:29" x14ac:dyDescent="0.2">
      <c r="A50" s="1" t="s">
        <v>61</v>
      </c>
      <c r="B50" s="2"/>
      <c r="C50" s="2"/>
      <c r="P50" s="91"/>
      <c r="S50" s="91"/>
      <c r="AA50" s="91"/>
      <c r="AB50" s="91"/>
      <c r="AC50" s="91"/>
    </row>
    <row r="51" spans="1:29" x14ac:dyDescent="0.2">
      <c r="A51" s="1" t="s">
        <v>62</v>
      </c>
      <c r="B51" s="2"/>
      <c r="C51" s="2"/>
      <c r="P51" s="91"/>
      <c r="S51" s="91"/>
      <c r="AA51" s="91"/>
      <c r="AB51" s="91"/>
      <c r="AC51" s="91"/>
    </row>
    <row r="52" spans="1:29" x14ac:dyDescent="0.2">
      <c r="A52" s="6" t="s">
        <v>64</v>
      </c>
      <c r="B52" s="96"/>
      <c r="C52" s="96"/>
    </row>
    <row r="53" spans="1:29" x14ac:dyDescent="0.2">
      <c r="A53" s="146" t="s">
        <v>112</v>
      </c>
    </row>
    <row r="55" spans="1:29" x14ac:dyDescent="0.2">
      <c r="B55" s="453" t="s">
        <v>1</v>
      </c>
      <c r="C55" s="1278" t="s">
        <v>367</v>
      </c>
    </row>
    <row r="56" spans="1:29" x14ac:dyDescent="0.2">
      <c r="B56" s="453" t="s">
        <v>4</v>
      </c>
      <c r="C56" s="1278" t="s">
        <v>368</v>
      </c>
    </row>
    <row r="57" spans="1:29" x14ac:dyDescent="0.2">
      <c r="B57" s="453" t="s">
        <v>2</v>
      </c>
      <c r="C57" s="1278" t="s">
        <v>369</v>
      </c>
    </row>
    <row r="58" spans="1:29" x14ac:dyDescent="0.2">
      <c r="B58" s="453" t="s">
        <v>3</v>
      </c>
      <c r="C58" s="1278" t="s">
        <v>370</v>
      </c>
    </row>
    <row r="61" spans="1:29" x14ac:dyDescent="0.2">
      <c r="B61" s="95" t="s">
        <v>371</v>
      </c>
    </row>
  </sheetData>
  <phoneticPr fontId="5" type="noConversion"/>
  <printOptions horizontalCentered="1" verticalCentered="1"/>
  <pageMargins left="0.39370078740157483" right="0.39370078740157483" top="0.39370078740157483" bottom="0.39370078740157483" header="0.19685039370078741" footer="0.15748031496062992"/>
  <pageSetup paperSize="8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4"/>
  <sheetViews>
    <sheetView zoomScale="90" zoomScaleNormal="90" workbookViewId="0">
      <selection activeCell="G42" sqref="G42"/>
    </sheetView>
  </sheetViews>
  <sheetFormatPr defaultColWidth="9.140625" defaultRowHeight="12.75" x14ac:dyDescent="0.2"/>
  <cols>
    <col min="1" max="1" width="44.7109375" style="6" customWidth="1"/>
    <col min="2" max="3" width="9.7109375" style="95" customWidth="1"/>
    <col min="4" max="4" width="8" style="95" customWidth="1"/>
    <col min="5" max="5" width="7.140625" style="95" customWidth="1"/>
    <col min="6" max="18" width="7.85546875" style="95" customWidth="1"/>
    <col min="19" max="19" width="6.28515625" style="6" customWidth="1"/>
    <col min="20" max="16384" width="9.140625" style="6"/>
  </cols>
  <sheetData>
    <row r="1" spans="1:19" ht="17.25" customHeight="1" x14ac:dyDescent="0.25">
      <c r="A1" s="41" t="s">
        <v>144</v>
      </c>
      <c r="B1" s="97"/>
      <c r="C1" s="97"/>
      <c r="D1" s="97"/>
      <c r="E1" s="4"/>
      <c r="F1" s="4"/>
      <c r="G1" s="3"/>
      <c r="H1" s="4"/>
      <c r="I1" s="3"/>
      <c r="J1" s="4"/>
      <c r="K1" s="3"/>
      <c r="L1" s="3"/>
      <c r="M1" s="4"/>
      <c r="N1" s="4"/>
      <c r="O1" s="4"/>
      <c r="Q1" s="4"/>
    </row>
    <row r="2" spans="1:19" ht="11.25" customHeight="1" thickBot="1" x14ac:dyDescent="0.3">
      <c r="A2" s="42"/>
      <c r="B2" s="97"/>
      <c r="C2" s="97"/>
      <c r="D2" s="97"/>
      <c r="E2" s="4"/>
      <c r="F2" s="3"/>
      <c r="G2" s="4"/>
      <c r="H2" s="4"/>
      <c r="I2" s="4"/>
      <c r="J2" s="4"/>
      <c r="K2" s="4"/>
      <c r="L2" s="4"/>
      <c r="M2" s="3"/>
      <c r="N2" s="3"/>
      <c r="O2" s="3"/>
      <c r="P2" s="3"/>
      <c r="Q2" s="3"/>
      <c r="R2" s="3"/>
      <c r="S2" s="3"/>
    </row>
    <row r="3" spans="1:19" ht="84" customHeight="1" x14ac:dyDescent="0.2">
      <c r="A3" s="747"/>
      <c r="B3" s="50" t="s">
        <v>142</v>
      </c>
      <c r="C3" s="50" t="s">
        <v>343</v>
      </c>
      <c r="D3" s="748" t="s">
        <v>191</v>
      </c>
      <c r="E3" s="749" t="s">
        <v>192</v>
      </c>
      <c r="F3" s="751" t="s">
        <v>209</v>
      </c>
      <c r="G3" s="749" t="s">
        <v>194</v>
      </c>
      <c r="H3" s="749" t="s">
        <v>193</v>
      </c>
      <c r="I3" s="749" t="s">
        <v>196</v>
      </c>
      <c r="J3" s="749" t="s">
        <v>195</v>
      </c>
      <c r="K3" s="750" t="s">
        <v>197</v>
      </c>
      <c r="L3" s="749" t="s">
        <v>198</v>
      </c>
      <c r="M3" s="751" t="s">
        <v>199</v>
      </c>
      <c r="N3" s="751" t="s">
        <v>200</v>
      </c>
      <c r="O3" s="750" t="s">
        <v>201</v>
      </c>
      <c r="P3" s="750" t="s">
        <v>202</v>
      </c>
      <c r="Q3" s="751" t="s">
        <v>203</v>
      </c>
      <c r="R3" s="749" t="s">
        <v>204</v>
      </c>
      <c r="S3" s="893"/>
    </row>
    <row r="4" spans="1:19" ht="30.75" customHeight="1" x14ac:dyDescent="0.2">
      <c r="A4" s="43" t="s">
        <v>26</v>
      </c>
      <c r="B4" s="752" t="s">
        <v>5</v>
      </c>
      <c r="C4" s="752" t="s">
        <v>5</v>
      </c>
      <c r="D4" s="753" t="s">
        <v>3</v>
      </c>
      <c r="E4" s="673" t="s">
        <v>4</v>
      </c>
      <c r="F4" s="673" t="s">
        <v>2</v>
      </c>
      <c r="G4" s="673" t="s">
        <v>1</v>
      </c>
      <c r="H4" s="673" t="s">
        <v>2</v>
      </c>
      <c r="I4" s="673" t="s">
        <v>3</v>
      </c>
      <c r="J4" s="673" t="s">
        <v>2</v>
      </c>
      <c r="K4" s="673" t="s">
        <v>1</v>
      </c>
      <c r="L4" s="673" t="s">
        <v>1</v>
      </c>
      <c r="M4" s="673" t="s">
        <v>2</v>
      </c>
      <c r="N4" s="673" t="s">
        <v>1</v>
      </c>
      <c r="O4" s="673" t="s">
        <v>1</v>
      </c>
      <c r="P4" s="673" t="s">
        <v>2</v>
      </c>
      <c r="Q4" s="673" t="s">
        <v>2</v>
      </c>
      <c r="R4" s="977" t="s">
        <v>2</v>
      </c>
      <c r="S4" s="893"/>
    </row>
    <row r="5" spans="1:19" s="25" customFormat="1" ht="16.5" customHeight="1" x14ac:dyDescent="0.2">
      <c r="A5" s="499" t="s">
        <v>11</v>
      </c>
      <c r="B5" s="754" t="s">
        <v>5</v>
      </c>
      <c r="C5" s="754" t="s">
        <v>5</v>
      </c>
      <c r="D5" s="755">
        <v>152.67099999999999</v>
      </c>
      <c r="E5" s="755">
        <v>153.65600000000001</v>
      </c>
      <c r="F5" s="755">
        <v>153.917</v>
      </c>
      <c r="G5" s="755">
        <v>154.28399999999999</v>
      </c>
      <c r="H5" s="755">
        <v>154.32499999999999</v>
      </c>
      <c r="I5" s="755">
        <v>155.036</v>
      </c>
      <c r="J5" s="755">
        <v>155.041</v>
      </c>
      <c r="K5" s="755">
        <v>155.876</v>
      </c>
      <c r="L5" s="755">
        <v>156.85599999999999</v>
      </c>
      <c r="M5" s="755">
        <v>157.17500000000001</v>
      </c>
      <c r="N5" s="755">
        <v>157.64699999999999</v>
      </c>
      <c r="O5" s="755">
        <v>158.21899999999999</v>
      </c>
      <c r="P5" s="755">
        <v>158.46199999999999</v>
      </c>
      <c r="Q5" s="755">
        <v>158.483</v>
      </c>
      <c r="R5" s="978">
        <v>161.79599999999999</v>
      </c>
      <c r="S5" s="473"/>
    </row>
    <row r="6" spans="1:19" s="25" customFormat="1" ht="16.5" customHeight="1" x14ac:dyDescent="0.2">
      <c r="A6" s="860" t="s">
        <v>13</v>
      </c>
      <c r="B6" s="861"/>
      <c r="C6" s="861"/>
      <c r="D6" s="862"/>
      <c r="E6" s="862"/>
      <c r="F6" s="865"/>
      <c r="G6" s="865"/>
      <c r="H6" s="865"/>
      <c r="I6" s="865"/>
      <c r="J6" s="865"/>
      <c r="K6" s="865"/>
      <c r="L6" s="865"/>
      <c r="M6" s="865"/>
      <c r="N6" s="865"/>
      <c r="O6" s="865"/>
      <c r="P6" s="865"/>
      <c r="Q6" s="865"/>
      <c r="R6" s="862"/>
      <c r="S6" s="473"/>
    </row>
    <row r="7" spans="1:19" s="25" customFormat="1" ht="16.5" customHeight="1" x14ac:dyDescent="0.2">
      <c r="A7" s="685" t="s">
        <v>278</v>
      </c>
      <c r="B7" s="1011">
        <v>100</v>
      </c>
      <c r="C7" s="1012">
        <v>102.81005520946228</v>
      </c>
      <c r="D7" s="1064">
        <v>102.62903747550926</v>
      </c>
      <c r="E7" s="1063">
        <v>99.810249688872474</v>
      </c>
      <c r="F7" s="1063">
        <v>103.9078932110436</v>
      </c>
      <c r="G7" s="1063">
        <v>103.22256257967088</v>
      </c>
      <c r="H7" s="1063">
        <v>103.10001850052211</v>
      </c>
      <c r="I7" s="1063">
        <v>97.440262718943458</v>
      </c>
      <c r="J7" s="1063">
        <v>99.81673315585671</v>
      </c>
      <c r="K7" s="1063">
        <v>100.14977632426087</v>
      </c>
      <c r="L7" s="756">
        <v>105.75715219380895</v>
      </c>
      <c r="M7" s="756">
        <v>105.21014576545835</v>
      </c>
      <c r="N7" s="756">
        <v>102.11072974010847</v>
      </c>
      <c r="O7" s="756">
        <v>98.383046574647551</v>
      </c>
      <c r="P7" s="756">
        <v>98.412492214911225</v>
      </c>
      <c r="Q7" s="756">
        <v>102.81529729345607</v>
      </c>
      <c r="R7" s="979">
        <v>102.70918466757942</v>
      </c>
      <c r="S7" s="473"/>
    </row>
    <row r="8" spans="1:19" s="25" customFormat="1" ht="16.5" customHeight="1" x14ac:dyDescent="0.2">
      <c r="A8" s="758" t="s">
        <v>229</v>
      </c>
      <c r="B8" s="1014">
        <f>65+12.0302135418471</f>
        <v>77.030213541847104</v>
      </c>
      <c r="C8" s="1015">
        <f>65+12.3597331813685</f>
        <v>77.359733181368497</v>
      </c>
      <c r="D8" s="1068">
        <f>65+12.3465588003328</f>
        <v>77.346558800332801</v>
      </c>
      <c r="E8" s="1066">
        <f>65+10.0831752153492</f>
        <v>75.0831752153492</v>
      </c>
      <c r="F8" s="1066">
        <f>65+11.7825609454602</f>
        <v>76.782560945460204</v>
      </c>
      <c r="G8" s="1066">
        <f>65+11.6359678624775</f>
        <v>76.6359678624775</v>
      </c>
      <c r="H8" s="1066">
        <f>65+12.4218856145548</f>
        <v>77.421885614554796</v>
      </c>
      <c r="I8" s="1066">
        <f>65+11.8283441876585</f>
        <v>76.828344187658502</v>
      </c>
      <c r="J8" s="1066">
        <f>65+12.3796878143945</f>
        <v>77.379687814394501</v>
      </c>
      <c r="K8" s="1066">
        <f>65+12.0908647111094</f>
        <v>77.090864711109404</v>
      </c>
      <c r="L8" s="760">
        <f>65+13.0469578755437</f>
        <v>78.046957875543697</v>
      </c>
      <c r="M8" s="760">
        <f>65+12.5694517606729</f>
        <v>77.569451760672905</v>
      </c>
      <c r="N8" s="760">
        <f>65+12.6651422763433</f>
        <v>77.665142276343303</v>
      </c>
      <c r="O8" s="760">
        <f>65+12.4579459841066</f>
        <v>77.457945984106601</v>
      </c>
      <c r="P8" s="760">
        <f>65+12.1057079461291</f>
        <v>77.105707946129101</v>
      </c>
      <c r="Q8" s="760">
        <f>65+12.188225718115</f>
        <v>77.188225718115007</v>
      </c>
      <c r="R8" s="980">
        <f>65+11.5768856145548</f>
        <v>76.576885614554797</v>
      </c>
      <c r="S8" s="473"/>
    </row>
    <row r="9" spans="1:19" s="25" customFormat="1" ht="16.5" customHeight="1" x14ac:dyDescent="0.2">
      <c r="A9" s="688" t="s">
        <v>280</v>
      </c>
      <c r="B9" s="1018">
        <v>100</v>
      </c>
      <c r="C9" s="1019">
        <v>102.94733982398758</v>
      </c>
      <c r="D9" s="763">
        <v>102.74541631358429</v>
      </c>
      <c r="E9" s="764">
        <v>97.973114455527238</v>
      </c>
      <c r="F9" s="764">
        <v>103.66735791702233</v>
      </c>
      <c r="G9" s="764">
        <v>101.8485643251942</v>
      </c>
      <c r="H9" s="764">
        <v>104.04899926056494</v>
      </c>
      <c r="I9" s="764">
        <v>97.814995379566966</v>
      </c>
      <c r="J9" s="764">
        <v>101.820333884525</v>
      </c>
      <c r="K9" s="764">
        <v>100.62009911929634</v>
      </c>
      <c r="L9" s="764">
        <v>106.72939257018338</v>
      </c>
      <c r="M9" s="764">
        <v>106.20636390711505</v>
      </c>
      <c r="N9" s="764">
        <v>102.59130328127637</v>
      </c>
      <c r="O9" s="764">
        <v>98.967171476780933</v>
      </c>
      <c r="P9" s="764">
        <v>98.890480543756638</v>
      </c>
      <c r="Q9" s="764">
        <v>104.45403455745978</v>
      </c>
      <c r="R9" s="981">
        <v>102.48040527230548</v>
      </c>
      <c r="S9" s="473"/>
    </row>
    <row r="10" spans="1:19" s="25" customFormat="1" ht="16.5" customHeight="1" x14ac:dyDescent="0.2">
      <c r="A10" s="427" t="s">
        <v>14</v>
      </c>
      <c r="B10" s="209"/>
      <c r="C10" s="428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73"/>
    </row>
    <row r="11" spans="1:19" s="25" customFormat="1" ht="16.5" customHeight="1" x14ac:dyDescent="0.2">
      <c r="A11" s="686" t="s">
        <v>270</v>
      </c>
      <c r="B11" s="1024">
        <v>100</v>
      </c>
      <c r="C11" s="1025">
        <v>101.29347027507409</v>
      </c>
      <c r="D11" s="1080">
        <v>104.33845196818268</v>
      </c>
      <c r="E11" s="1071">
        <v>101.44630339926894</v>
      </c>
      <c r="F11" s="1071">
        <v>105.75821290001396</v>
      </c>
      <c r="G11" s="1071">
        <v>102.80154566160535</v>
      </c>
      <c r="H11" s="1071">
        <v>100.05542437822996</v>
      </c>
      <c r="I11" s="1071">
        <v>99.374429294986044</v>
      </c>
      <c r="J11" s="1071">
        <v>98.891619102432671</v>
      </c>
      <c r="K11" s="1071">
        <v>98.804135143670749</v>
      </c>
      <c r="L11" s="684">
        <v>105.63375599547959</v>
      </c>
      <c r="M11" s="684">
        <v>105.16280808620181</v>
      </c>
      <c r="N11" s="684">
        <v>97.937427834707023</v>
      </c>
      <c r="O11" s="684">
        <v>98.804589383018183</v>
      </c>
      <c r="P11" s="684">
        <v>95.387319569226619</v>
      </c>
      <c r="Q11" s="684">
        <v>98.248057989127702</v>
      </c>
      <c r="R11" s="982">
        <v>97.272711155899842</v>
      </c>
      <c r="S11" s="473"/>
    </row>
    <row r="12" spans="1:19" s="25" customFormat="1" ht="27.75" customHeight="1" x14ac:dyDescent="0.2">
      <c r="A12" s="734" t="s">
        <v>281</v>
      </c>
      <c r="B12" s="1027">
        <v>100</v>
      </c>
      <c r="C12" s="1019">
        <v>106.32671487404053</v>
      </c>
      <c r="D12" s="763">
        <v>107.99359029738339</v>
      </c>
      <c r="E12" s="764">
        <v>106.29332466980514</v>
      </c>
      <c r="F12" s="764">
        <v>109.08710005414459</v>
      </c>
      <c r="G12" s="764">
        <v>107.58635482444333</v>
      </c>
      <c r="H12" s="764">
        <v>106.01159537851468</v>
      </c>
      <c r="I12" s="764">
        <v>104.07035689383225</v>
      </c>
      <c r="J12" s="764">
        <v>102.58378689315242</v>
      </c>
      <c r="K12" s="764">
        <v>104.55721401451291</v>
      </c>
      <c r="L12" s="764">
        <v>112.33468334156464</v>
      </c>
      <c r="M12" s="764">
        <v>109.2110514213222</v>
      </c>
      <c r="N12" s="764">
        <v>100.85242079823261</v>
      </c>
      <c r="O12" s="764">
        <v>106.1040422261498</v>
      </c>
      <c r="P12" s="764">
        <v>99.593251383692248</v>
      </c>
      <c r="Q12" s="764">
        <v>100.70282458680512</v>
      </c>
      <c r="R12" s="981">
        <v>101.84568174783075</v>
      </c>
      <c r="S12" s="473"/>
    </row>
    <row r="13" spans="1:19" s="25" customFormat="1" ht="16.5" customHeight="1" x14ac:dyDescent="0.2">
      <c r="A13" s="686" t="s">
        <v>271</v>
      </c>
      <c r="B13" s="1024">
        <v>100</v>
      </c>
      <c r="C13" s="1025">
        <v>102.93655796787054</v>
      </c>
      <c r="D13" s="1080">
        <v>106.39075608435409</v>
      </c>
      <c r="E13" s="1071">
        <v>104.11688593928925</v>
      </c>
      <c r="F13" s="1071">
        <v>105.33769784322681</v>
      </c>
      <c r="G13" s="1071">
        <v>103.08061877851951</v>
      </c>
      <c r="H13" s="1071">
        <v>100.00553811757622</v>
      </c>
      <c r="I13" s="1071">
        <v>103.22753884641932</v>
      </c>
      <c r="J13" s="1071">
        <v>106.17198311346054</v>
      </c>
      <c r="K13" s="1071">
        <v>101.18501970707601</v>
      </c>
      <c r="L13" s="684">
        <v>107.44413286407517</v>
      </c>
      <c r="M13" s="684">
        <v>105.55896720758767</v>
      </c>
      <c r="N13" s="684">
        <v>100.1306278720309</v>
      </c>
      <c r="O13" s="684">
        <v>99.412868185621534</v>
      </c>
      <c r="P13" s="684">
        <v>98.918098409732295</v>
      </c>
      <c r="Q13" s="684">
        <v>101.47492022360201</v>
      </c>
      <c r="R13" s="982">
        <v>100.02604808359752</v>
      </c>
      <c r="S13" s="473"/>
    </row>
    <row r="14" spans="1:19" s="25" customFormat="1" ht="16.5" customHeight="1" x14ac:dyDescent="0.2">
      <c r="A14" s="736" t="s">
        <v>284</v>
      </c>
      <c r="B14" s="1030">
        <v>100</v>
      </c>
      <c r="C14" s="1094">
        <v>102.05923776443504</v>
      </c>
      <c r="D14" s="1159">
        <v>105.17803092479826</v>
      </c>
      <c r="E14" s="1093">
        <v>102.63322897261131</v>
      </c>
      <c r="F14" s="1093">
        <v>105.54795537162038</v>
      </c>
      <c r="G14" s="1093">
        <v>102.92945417352433</v>
      </c>
      <c r="H14" s="1093">
        <v>100.03546987396845</v>
      </c>
      <c r="I14" s="1093">
        <v>101.16337301529435</v>
      </c>
      <c r="J14" s="1093">
        <v>101.86994983421681</v>
      </c>
      <c r="K14" s="1093">
        <v>99.895373901898154</v>
      </c>
      <c r="L14" s="773">
        <v>106.47428811304182</v>
      </c>
      <c r="M14" s="773">
        <v>105.29486112666376</v>
      </c>
      <c r="N14" s="773">
        <v>98.937834869275818</v>
      </c>
      <c r="O14" s="773">
        <v>99.090296093331887</v>
      </c>
      <c r="P14" s="773">
        <v>97.026609745175691</v>
      </c>
      <c r="Q14" s="773">
        <v>99.323678733952477</v>
      </c>
      <c r="R14" s="770">
        <v>98.374045926978908</v>
      </c>
      <c r="S14" s="473"/>
    </row>
    <row r="15" spans="1:19" s="25" customFormat="1" ht="16.5" customHeight="1" x14ac:dyDescent="0.2">
      <c r="A15" s="455" t="s">
        <v>15</v>
      </c>
      <c r="B15" s="1032"/>
      <c r="C15" s="1033"/>
      <c r="D15" s="1077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73"/>
    </row>
    <row r="16" spans="1:19" s="25" customFormat="1" ht="16.5" customHeight="1" x14ac:dyDescent="0.2">
      <c r="A16" s="687" t="s">
        <v>285</v>
      </c>
      <c r="B16" s="1030">
        <v>65.91005350585236</v>
      </c>
      <c r="C16" s="1028">
        <v>62.306014202485954</v>
      </c>
      <c r="D16" s="1076">
        <v>61.34107225011698</v>
      </c>
      <c r="E16" s="1074">
        <v>63.84516719762486</v>
      </c>
      <c r="F16" s="1074">
        <v>61.348142604020246</v>
      </c>
      <c r="G16" s="1074">
        <v>59.126361494594228</v>
      </c>
      <c r="H16" s="1074">
        <v>64.540926035168795</v>
      </c>
      <c r="I16" s="1074">
        <v>65.151680480987139</v>
      </c>
      <c r="J16" s="1074">
        <v>64.389738916783642</v>
      </c>
      <c r="K16" s="1074">
        <v>65.583936094283985</v>
      </c>
      <c r="L16" s="771">
        <v>62.862496723045048</v>
      </c>
      <c r="M16" s="771">
        <v>66.847097468936411</v>
      </c>
      <c r="N16" s="771">
        <v>61.651262498020564</v>
      </c>
      <c r="O16" s="771">
        <v>66.28096644854287</v>
      </c>
      <c r="P16" s="771">
        <v>63.15175203377369</v>
      </c>
      <c r="Q16" s="771">
        <v>65.791541913380854</v>
      </c>
      <c r="R16" s="983">
        <v>63.37442603516881</v>
      </c>
      <c r="S16" s="473"/>
    </row>
    <row r="17" spans="1:54" s="185" customFormat="1" ht="16.5" customHeight="1" x14ac:dyDescent="0.2">
      <c r="A17" s="687" t="s">
        <v>286</v>
      </c>
      <c r="B17" s="1024">
        <v>63.401387231506412</v>
      </c>
      <c r="C17" s="1025">
        <v>59.324824901741579</v>
      </c>
      <c r="D17" s="1080">
        <v>58.165651749953973</v>
      </c>
      <c r="E17" s="1079">
        <v>60.801715522003022</v>
      </c>
      <c r="F17" s="1079">
        <v>57.812065405281238</v>
      </c>
      <c r="G17" s="1079">
        <v>55.508688266290569</v>
      </c>
      <c r="H17" s="1079">
        <v>59.524982404343277</v>
      </c>
      <c r="I17" s="1079">
        <v>60.758969973975937</v>
      </c>
      <c r="J17" s="1079">
        <v>60.017207305509523</v>
      </c>
      <c r="K17" s="1079">
        <v>60.279688704356786</v>
      </c>
      <c r="L17" s="779">
        <v>61.042473632274998</v>
      </c>
      <c r="M17" s="779">
        <v>63.816649862345606</v>
      </c>
      <c r="N17" s="779">
        <v>60.509120713062501</v>
      </c>
      <c r="O17" s="779">
        <v>60.900282360309888</v>
      </c>
      <c r="P17" s="684">
        <v>62.034929521875078</v>
      </c>
      <c r="Q17" s="779">
        <v>62.607316529012252</v>
      </c>
      <c r="R17" s="982">
        <v>61.533315737676602</v>
      </c>
      <c r="S17" s="473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</row>
    <row r="18" spans="1:54" s="190" customFormat="1" ht="16.5" customHeight="1" x14ac:dyDescent="0.2">
      <c r="A18" s="736" t="s">
        <v>290</v>
      </c>
      <c r="B18" s="1095">
        <v>6.2722341348322281</v>
      </c>
      <c r="C18" s="1096">
        <v>5.6844624397187529</v>
      </c>
      <c r="D18" s="1160">
        <v>5.5459374623822786</v>
      </c>
      <c r="E18" s="1113">
        <v>5.9218014925584175</v>
      </c>
      <c r="F18" s="1113">
        <v>5.48412606871854</v>
      </c>
      <c r="G18" s="1113">
        <v>5.1467082573712393</v>
      </c>
      <c r="H18" s="1113">
        <v>5.8630914269523071</v>
      </c>
      <c r="I18" s="1113">
        <v>6.0181657804854023</v>
      </c>
      <c r="J18" s="1113">
        <v>5.9376906052394212</v>
      </c>
      <c r="K18" s="1113">
        <v>6.0197803683416033</v>
      </c>
      <c r="L18" s="864">
        <v>5.8506589599484737</v>
      </c>
      <c r="M18" s="864">
        <v>6.419594896863364</v>
      </c>
      <c r="N18" s="864">
        <v>5.7207021732136951</v>
      </c>
      <c r="O18" s="864">
        <v>6.1167407781656262</v>
      </c>
      <c r="P18" s="864">
        <v>5.9528665034717996</v>
      </c>
      <c r="Q18" s="864">
        <v>6.2470080968633628</v>
      </c>
      <c r="R18" s="984">
        <v>5.9281230519523067</v>
      </c>
      <c r="S18" s="473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</row>
    <row r="19" spans="1:54" s="185" customFormat="1" ht="16.5" customHeight="1" x14ac:dyDescent="0.2">
      <c r="A19" s="437" t="s">
        <v>12</v>
      </c>
      <c r="B19" s="765"/>
      <c r="C19" s="766"/>
      <c r="D19" s="768"/>
      <c r="E19" s="767"/>
      <c r="F19" s="767"/>
      <c r="G19" s="767"/>
      <c r="H19" s="767"/>
      <c r="I19" s="767"/>
      <c r="J19" s="767"/>
      <c r="K19" s="767"/>
      <c r="L19" s="767"/>
      <c r="M19" s="767"/>
      <c r="N19" s="767"/>
      <c r="O19" s="767"/>
      <c r="P19" s="767"/>
      <c r="Q19" s="767"/>
      <c r="R19" s="767"/>
      <c r="S19" s="473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</row>
    <row r="20" spans="1:54" s="25" customFormat="1" ht="16.5" customHeight="1" x14ac:dyDescent="0.2">
      <c r="A20" s="685" t="s">
        <v>272</v>
      </c>
      <c r="B20" s="1011">
        <v>100</v>
      </c>
      <c r="C20" s="1012">
        <v>95.786455120696104</v>
      </c>
      <c r="D20" s="757">
        <v>106.98608975803729</v>
      </c>
      <c r="E20" s="756">
        <v>94.03270614627715</v>
      </c>
      <c r="F20" s="756">
        <v>95.966185580395049</v>
      </c>
      <c r="G20" s="756">
        <v>100.24038353304064</v>
      </c>
      <c r="H20" s="756">
        <v>83.928808135873339</v>
      </c>
      <c r="I20" s="756">
        <v>87.042850018109547</v>
      </c>
      <c r="J20" s="756">
        <v>85.170719164484524</v>
      </c>
      <c r="K20" s="1063">
        <v>89.718278772324084</v>
      </c>
      <c r="L20" s="756">
        <v>109.60600911325481</v>
      </c>
      <c r="M20" s="756">
        <v>109.425022440275</v>
      </c>
      <c r="N20" s="756">
        <v>83.581149064164819</v>
      </c>
      <c r="O20" s="756">
        <v>80.300797553802909</v>
      </c>
      <c r="P20" s="756">
        <v>74.740307007403047</v>
      </c>
      <c r="Q20" s="756">
        <v>81.584454254217178</v>
      </c>
      <c r="R20" s="979">
        <v>87.144450424663262</v>
      </c>
      <c r="S20" s="473"/>
    </row>
    <row r="21" spans="1:54" s="185" customFormat="1" ht="16.5" customHeight="1" x14ac:dyDescent="0.2">
      <c r="A21" s="686" t="s">
        <v>273</v>
      </c>
      <c r="B21" s="1024">
        <v>100</v>
      </c>
      <c r="C21" s="1025">
        <v>98.618568406551717</v>
      </c>
      <c r="D21" s="769">
        <v>105.38904365479979</v>
      </c>
      <c r="E21" s="684">
        <v>99.429198359324843</v>
      </c>
      <c r="F21" s="684">
        <v>101.08329565514818</v>
      </c>
      <c r="G21" s="684">
        <v>99.853361776652434</v>
      </c>
      <c r="H21" s="684">
        <v>90.281327261718445</v>
      </c>
      <c r="I21" s="684">
        <v>90.763508593820475</v>
      </c>
      <c r="J21" s="684">
        <v>91.006667716391874</v>
      </c>
      <c r="K21" s="1071">
        <v>93.177763829037701</v>
      </c>
      <c r="L21" s="684">
        <v>108.11804046227763</v>
      </c>
      <c r="M21" s="684">
        <v>105.89140834421541</v>
      </c>
      <c r="N21" s="684">
        <v>93.325107558239111</v>
      </c>
      <c r="O21" s="684">
        <v>89.221203331134589</v>
      </c>
      <c r="P21" s="684">
        <v>81.783805592575078</v>
      </c>
      <c r="Q21" s="684">
        <v>87.314947602804779</v>
      </c>
      <c r="R21" s="982">
        <v>91.664891742992751</v>
      </c>
      <c r="S21" s="473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</row>
    <row r="22" spans="1:54" s="185" customFormat="1" ht="16.5" customHeight="1" x14ac:dyDescent="0.2">
      <c r="A22" s="686" t="s">
        <v>291</v>
      </c>
      <c r="B22" s="1024">
        <v>100</v>
      </c>
      <c r="C22" s="1025">
        <v>106.69922752263152</v>
      </c>
      <c r="D22" s="769">
        <v>103.72520318265028</v>
      </c>
      <c r="E22" s="684">
        <v>103.67525306652115</v>
      </c>
      <c r="F22" s="684">
        <v>105.23558904922466</v>
      </c>
      <c r="G22" s="684">
        <v>106.96798816100012</v>
      </c>
      <c r="H22" s="684">
        <v>113.08935154942152</v>
      </c>
      <c r="I22" s="684">
        <v>101.71313526233189</v>
      </c>
      <c r="J22" s="684">
        <v>105.88056623527932</v>
      </c>
      <c r="K22" s="1071">
        <v>107.23871354977659</v>
      </c>
      <c r="L22" s="684">
        <v>105.72052083022275</v>
      </c>
      <c r="M22" s="684">
        <v>110.83620610713935</v>
      </c>
      <c r="N22" s="684">
        <v>106.86968754952655</v>
      </c>
      <c r="O22" s="684">
        <v>110.38598575984011</v>
      </c>
      <c r="P22" s="684">
        <v>107.7003291635576</v>
      </c>
      <c r="Q22" s="684">
        <v>110.32502817419478</v>
      </c>
      <c r="R22" s="982">
        <v>112.18699782022975</v>
      </c>
      <c r="S22" s="473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</row>
    <row r="23" spans="1:54" s="185" customFormat="1" ht="16.5" customHeight="1" x14ac:dyDescent="0.2">
      <c r="A23" s="686" t="s">
        <v>292</v>
      </c>
      <c r="B23" s="1024">
        <v>100</v>
      </c>
      <c r="C23" s="1025">
        <v>101.84309856523483</v>
      </c>
      <c r="D23" s="769">
        <v>101.63085178866139</v>
      </c>
      <c r="E23" s="684">
        <v>99.528849901436757</v>
      </c>
      <c r="F23" s="684">
        <v>106.14687065333445</v>
      </c>
      <c r="G23" s="684">
        <v>103.22714320664598</v>
      </c>
      <c r="H23" s="684">
        <v>103.18452522265081</v>
      </c>
      <c r="I23" s="684">
        <v>97.7840002046553</v>
      </c>
      <c r="J23" s="684">
        <v>100.43034055133874</v>
      </c>
      <c r="K23" s="1071">
        <v>95.981867397624058</v>
      </c>
      <c r="L23" s="684">
        <v>104.05794350474767</v>
      </c>
      <c r="M23" s="684">
        <v>103.21246669914532</v>
      </c>
      <c r="N23" s="684">
        <v>104.10544015192163</v>
      </c>
      <c r="O23" s="684">
        <v>95.226475411528327</v>
      </c>
      <c r="P23" s="684">
        <v>100.58706670385634</v>
      </c>
      <c r="Q23" s="684">
        <v>107.56404659399422</v>
      </c>
      <c r="R23" s="982">
        <v>99.799477143642676</v>
      </c>
      <c r="S23" s="473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</row>
    <row r="24" spans="1:54" s="185" customFormat="1" ht="16.5" customHeight="1" x14ac:dyDescent="0.2">
      <c r="A24" s="686" t="s">
        <v>274</v>
      </c>
      <c r="B24" s="1030">
        <v>100</v>
      </c>
      <c r="C24" s="1028">
        <v>101.10871471616285</v>
      </c>
      <c r="D24" s="770">
        <v>97.445546325138608</v>
      </c>
      <c r="E24" s="771">
        <v>91.253793062416207</v>
      </c>
      <c r="F24" s="771">
        <v>100.99052337005328</v>
      </c>
      <c r="G24" s="771">
        <v>98.88975157917254</v>
      </c>
      <c r="H24" s="771">
        <v>98.030672141856272</v>
      </c>
      <c r="I24" s="771">
        <v>96.463474590598693</v>
      </c>
      <c r="J24" s="771">
        <v>97.439448179574782</v>
      </c>
      <c r="K24" s="1074">
        <v>100.48448150942556</v>
      </c>
      <c r="L24" s="771">
        <v>104.6348837682886</v>
      </c>
      <c r="M24" s="771">
        <v>93.825903013999763</v>
      </c>
      <c r="N24" s="771">
        <v>100.4257420077647</v>
      </c>
      <c r="O24" s="771">
        <v>88.417532286070653</v>
      </c>
      <c r="P24" s="771">
        <v>97.19177239057278</v>
      </c>
      <c r="Q24" s="771">
        <v>99.788575519784899</v>
      </c>
      <c r="R24" s="983">
        <v>101.3175953606703</v>
      </c>
      <c r="S24" s="473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</row>
    <row r="25" spans="1:54" s="185" customFormat="1" ht="16.5" customHeight="1" x14ac:dyDescent="0.2">
      <c r="A25" s="449" t="s">
        <v>25</v>
      </c>
      <c r="B25" s="775"/>
      <c r="C25" s="776"/>
      <c r="D25" s="777"/>
      <c r="E25" s="767"/>
      <c r="F25" s="767"/>
      <c r="G25" s="767"/>
      <c r="H25" s="767"/>
      <c r="I25" s="767"/>
      <c r="J25" s="767"/>
      <c r="K25" s="1086"/>
      <c r="L25" s="767"/>
      <c r="M25" s="767"/>
      <c r="N25" s="767"/>
      <c r="O25" s="767"/>
      <c r="P25" s="767"/>
      <c r="Q25" s="767"/>
      <c r="R25" s="767"/>
      <c r="S25" s="473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</row>
    <row r="26" spans="1:54" s="185" customFormat="1" ht="16.5" customHeight="1" x14ac:dyDescent="0.2">
      <c r="A26" s="685" t="s">
        <v>275</v>
      </c>
      <c r="B26" s="1011">
        <v>100</v>
      </c>
      <c r="C26" s="1012">
        <v>106.10380727139241</v>
      </c>
      <c r="D26" s="757">
        <v>112.16159039337768</v>
      </c>
      <c r="E26" s="756">
        <v>112.96830637018027</v>
      </c>
      <c r="F26" s="756">
        <v>113.36864969466902</v>
      </c>
      <c r="G26" s="756">
        <v>109.5268194364053</v>
      </c>
      <c r="H26" s="756">
        <v>104.33269324546224</v>
      </c>
      <c r="I26" s="756">
        <v>107.8153702202314</v>
      </c>
      <c r="J26" s="756">
        <v>104.34265026011964</v>
      </c>
      <c r="K26" s="1063">
        <v>104.32076440031868</v>
      </c>
      <c r="L26" s="756">
        <v>112.69095712661721</v>
      </c>
      <c r="M26" s="756">
        <v>110.23698683935324</v>
      </c>
      <c r="N26" s="756">
        <v>97.876688122228444</v>
      </c>
      <c r="O26" s="756">
        <v>104.38825612153626</v>
      </c>
      <c r="P26" s="756">
        <v>93.864587416407304</v>
      </c>
      <c r="Q26" s="756">
        <v>96.954151459945521</v>
      </c>
      <c r="R26" s="979">
        <v>97.849042824473841</v>
      </c>
      <c r="S26" s="473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</row>
    <row r="27" spans="1:54" s="185" customFormat="1" ht="16.5" customHeight="1" x14ac:dyDescent="0.2">
      <c r="A27" s="758" t="s">
        <v>226</v>
      </c>
      <c r="B27" s="1049">
        <f>65+6.80750321321837</f>
        <v>71.807503213218368</v>
      </c>
      <c r="C27" s="1015">
        <f>65+7.06683756422578</f>
        <v>72.066837564225779</v>
      </c>
      <c r="D27" s="759">
        <f>65+5.1658024913723</f>
        <v>70.165802491372304</v>
      </c>
      <c r="E27" s="760">
        <f>65+4.85929110117303</f>
        <v>69.859291101173028</v>
      </c>
      <c r="F27" s="760">
        <f>65+5.15766878622252</f>
        <v>70.157668786222516</v>
      </c>
      <c r="G27" s="760">
        <f>65+7.17666290510536</f>
        <v>72.17666290510536</v>
      </c>
      <c r="H27" s="760">
        <f>65+7.15509294700713</f>
        <v>72.155092947007134</v>
      </c>
      <c r="I27" s="760">
        <f>65+5.73866021323836</f>
        <v>70.738660213238362</v>
      </c>
      <c r="J27" s="760">
        <f>65+6.41153165413563</f>
        <v>71.411531654135629</v>
      </c>
      <c r="K27" s="1066">
        <f>65+6.97405558597542</f>
        <v>71.974055585975421</v>
      </c>
      <c r="L27" s="760">
        <f>65+6.62889522437631</f>
        <v>71.628895224376308</v>
      </c>
      <c r="M27" s="760">
        <f>65+6.586023666017</f>
        <v>71.586023666016999</v>
      </c>
      <c r="N27" s="760">
        <f>65+7.48773654144598</f>
        <v>72.487736541445983</v>
      </c>
      <c r="O27" s="760">
        <f>65+7.46548003300499</f>
        <v>72.465480033004994</v>
      </c>
      <c r="P27" s="760">
        <f>65+7.88405003884733</f>
        <v>72.884050038847334</v>
      </c>
      <c r="Q27" s="760">
        <f>65+8.51602366601701</f>
        <v>73.516023666017006</v>
      </c>
      <c r="R27" s="980">
        <f>65+7.14731516922936</f>
        <v>72.147315169229358</v>
      </c>
      <c r="S27" s="473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</row>
    <row r="28" spans="1:54" s="185" customFormat="1" ht="16.5" customHeight="1" x14ac:dyDescent="0.2">
      <c r="A28" s="686" t="s">
        <v>276</v>
      </c>
      <c r="B28" s="1024">
        <v>100</v>
      </c>
      <c r="C28" s="1025">
        <v>106.86233716226954</v>
      </c>
      <c r="D28" s="769">
        <v>107.15844434621448</v>
      </c>
      <c r="E28" s="684">
        <v>105.45307949094899</v>
      </c>
      <c r="F28" s="684">
        <v>107.25808937563339</v>
      </c>
      <c r="G28" s="684">
        <v>106.04691848987879</v>
      </c>
      <c r="H28" s="684">
        <v>107.0907391058135</v>
      </c>
      <c r="I28" s="684">
        <v>102.92941893394413</v>
      </c>
      <c r="J28" s="684">
        <v>101.27072349239698</v>
      </c>
      <c r="K28" s="1071">
        <v>105.23956436955724</v>
      </c>
      <c r="L28" s="684">
        <v>112.28843755755437</v>
      </c>
      <c r="M28" s="684">
        <v>112.24592000364157</v>
      </c>
      <c r="N28" s="684">
        <v>103.87442823208772</v>
      </c>
      <c r="O28" s="684">
        <v>106.32654781197802</v>
      </c>
      <c r="P28" s="684">
        <v>108.66535944811014</v>
      </c>
      <c r="Q28" s="684">
        <v>108.64921412314403</v>
      </c>
      <c r="R28" s="982">
        <v>106.15349638972825</v>
      </c>
      <c r="S28" s="473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</row>
    <row r="29" spans="1:54" s="25" customFormat="1" ht="16.5" customHeight="1" x14ac:dyDescent="0.2">
      <c r="A29" s="778" t="s">
        <v>228</v>
      </c>
      <c r="B29" s="1049">
        <f>65+7.93347031992596</f>
        <v>72.933470319925959</v>
      </c>
      <c r="C29" s="1015">
        <f>65+8.50295761239238</f>
        <v>73.502957612392379</v>
      </c>
      <c r="D29" s="759">
        <f>65+7.37734522263726</f>
        <v>72.37734522263726</v>
      </c>
      <c r="E29" s="760">
        <f>65+6.61557075675211</f>
        <v>71.615570756752106</v>
      </c>
      <c r="F29" s="760">
        <f>65+8.06731299204904</f>
        <v>73.06731299204904</v>
      </c>
      <c r="G29" s="760">
        <f>65+8.64093089376598</f>
        <v>73.640930893765983</v>
      </c>
      <c r="H29" s="760">
        <f>65+8.45107419512603</f>
        <v>73.451074195126026</v>
      </c>
      <c r="I29" s="760">
        <f>65+7.91676760324482</f>
        <v>72.916767603244821</v>
      </c>
      <c r="J29" s="760">
        <f>65+8.29416717003774</f>
        <v>73.294167170037738</v>
      </c>
      <c r="K29" s="1066">
        <f>65+8.22629066597136</f>
        <v>73.226290665971362</v>
      </c>
      <c r="L29" s="760">
        <f>65+7.82162210351665</f>
        <v>72.821622103516646</v>
      </c>
      <c r="M29" s="760">
        <f>65+9.24452123061221</f>
        <v>74.244521230612207</v>
      </c>
      <c r="N29" s="760">
        <f>65+9.33346639047289</f>
        <v>74.333466390472893</v>
      </c>
      <c r="O29" s="760">
        <f>65+8.93823726439675</f>
        <v>73.938237264396747</v>
      </c>
      <c r="P29" s="760">
        <f>65+8.46256054312445</f>
        <v>73.462560543124454</v>
      </c>
      <c r="Q29" s="760">
        <f>65+7.76618789727885</f>
        <v>72.766187897278854</v>
      </c>
      <c r="R29" s="980">
        <f>65+7.32551863957049</f>
        <v>72.32551863957049</v>
      </c>
      <c r="S29" s="473"/>
      <c r="T29" s="415"/>
    </row>
    <row r="30" spans="1:54" s="185" customFormat="1" ht="16.5" customHeight="1" x14ac:dyDescent="0.2">
      <c r="A30" s="686" t="s">
        <v>277</v>
      </c>
      <c r="B30" s="1024">
        <v>100</v>
      </c>
      <c r="C30" s="1025">
        <v>98.916966000293073</v>
      </c>
      <c r="D30" s="769">
        <v>100.91774523794822</v>
      </c>
      <c r="E30" s="684">
        <v>90.93399373794594</v>
      </c>
      <c r="F30" s="684">
        <v>103.33568276465827</v>
      </c>
      <c r="G30" s="684">
        <v>100.05512544388966</v>
      </c>
      <c r="H30" s="684">
        <v>101.83083797149379</v>
      </c>
      <c r="I30" s="684">
        <v>94.951014546496452</v>
      </c>
      <c r="J30" s="684">
        <v>98.189464792948215</v>
      </c>
      <c r="K30" s="1071">
        <v>97.426708474208198</v>
      </c>
      <c r="L30" s="684">
        <v>99.088694021393962</v>
      </c>
      <c r="M30" s="684">
        <v>103.40865184004582</v>
      </c>
      <c r="N30" s="684">
        <v>99.09733606168048</v>
      </c>
      <c r="O30" s="684">
        <v>97.704032183411499</v>
      </c>
      <c r="P30" s="684">
        <v>97.133459364616144</v>
      </c>
      <c r="Q30" s="684">
        <v>103.56329030871376</v>
      </c>
      <c r="R30" s="982">
        <v>100.81158567486442</v>
      </c>
      <c r="S30" s="473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</row>
    <row r="31" spans="1:54" s="185" customFormat="1" ht="16.5" customHeight="1" x14ac:dyDescent="0.2">
      <c r="A31" s="689" t="s">
        <v>279</v>
      </c>
      <c r="B31" s="1050">
        <v>100</v>
      </c>
      <c r="C31" s="1138">
        <v>99.688377576562871</v>
      </c>
      <c r="D31" s="813">
        <v>100.22577226181689</v>
      </c>
      <c r="E31" s="774">
        <v>93.896434035804987</v>
      </c>
      <c r="F31" s="774">
        <v>103.20175399556213</v>
      </c>
      <c r="G31" s="774">
        <v>99.507852013179814</v>
      </c>
      <c r="H31" s="774">
        <v>94.256784604079783</v>
      </c>
      <c r="I31" s="774">
        <v>93.417510728716863</v>
      </c>
      <c r="J31" s="774">
        <v>98.026403236642594</v>
      </c>
      <c r="K31" s="1093">
        <v>93.531885308673765</v>
      </c>
      <c r="L31" s="774">
        <v>101.52343263534192</v>
      </c>
      <c r="M31" s="774">
        <v>100.89172767064677</v>
      </c>
      <c r="N31" s="774">
        <v>104.20012915408577</v>
      </c>
      <c r="O31" s="774">
        <v>91.740113220648453</v>
      </c>
      <c r="P31" s="774">
        <v>94.762614497003526</v>
      </c>
      <c r="Q31" s="774">
        <v>97.815521094313397</v>
      </c>
      <c r="R31" s="985">
        <v>96.117768618800554</v>
      </c>
      <c r="S31" s="473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</row>
    <row r="32" spans="1:54" s="25" customFormat="1" ht="16.5" customHeight="1" x14ac:dyDescent="0.2">
      <c r="A32" s="455" t="s">
        <v>15</v>
      </c>
      <c r="B32" s="456"/>
      <c r="C32" s="457"/>
      <c r="D32" s="458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29"/>
      <c r="R32" s="429"/>
      <c r="S32" s="473"/>
    </row>
    <row r="33" spans="1:54" s="25" customFormat="1" ht="16.5" customHeight="1" x14ac:dyDescent="0.2">
      <c r="A33" s="780" t="s">
        <v>294</v>
      </c>
      <c r="B33" s="1051">
        <v>7.0653158737759414</v>
      </c>
      <c r="C33" s="1052">
        <v>7.1414715945436562</v>
      </c>
      <c r="D33" s="746">
        <v>7.2810151667615672</v>
      </c>
      <c r="E33" s="743">
        <v>7.2347762372470097</v>
      </c>
      <c r="F33" s="743">
        <v>6.7176182981854566</v>
      </c>
      <c r="G33" s="743">
        <v>7.0475013467440988</v>
      </c>
      <c r="H33" s="743">
        <v>7.0776854861030412</v>
      </c>
      <c r="I33" s="743">
        <v>7.0265785433039749</v>
      </c>
      <c r="J33" s="743">
        <v>7.1872651667615681</v>
      </c>
      <c r="K33" s="1126">
        <v>7.1791421713842345</v>
      </c>
      <c r="L33" s="743">
        <v>7.13576663959378</v>
      </c>
      <c r="M33" s="743">
        <v>7.4221193632909914</v>
      </c>
      <c r="N33" s="743">
        <v>7.2034762204525125</v>
      </c>
      <c r="O33" s="743">
        <v>6.9709931144924839</v>
      </c>
      <c r="P33" s="743">
        <v>7.0265785316837572</v>
      </c>
      <c r="Q33" s="743">
        <v>7.0783693632909914</v>
      </c>
      <c r="R33" s="744">
        <v>6.9110188194363751</v>
      </c>
      <c r="S33" s="473"/>
    </row>
    <row r="34" spans="1:54" s="25" customFormat="1" ht="16.5" customHeight="1" x14ac:dyDescent="0.2">
      <c r="A34" s="455" t="s">
        <v>16</v>
      </c>
      <c r="B34" s="1032"/>
      <c r="C34" s="1033"/>
      <c r="D34" s="458"/>
      <c r="E34" s="458"/>
      <c r="F34" s="458"/>
      <c r="G34" s="458"/>
      <c r="H34" s="458"/>
      <c r="I34" s="458"/>
      <c r="J34" s="458"/>
      <c r="K34" s="1077"/>
      <c r="L34" s="458"/>
      <c r="M34" s="458"/>
      <c r="N34" s="458"/>
      <c r="O34" s="458"/>
      <c r="P34" s="458"/>
      <c r="Q34" s="458"/>
      <c r="R34" s="458"/>
      <c r="S34" s="473"/>
    </row>
    <row r="35" spans="1:54" s="25" customFormat="1" ht="16.5" customHeight="1" x14ac:dyDescent="0.2">
      <c r="A35" s="781" t="s">
        <v>6</v>
      </c>
      <c r="B35" s="1097">
        <v>5.3142878503785065</v>
      </c>
      <c r="C35" s="1156">
        <v>5.6832357481341171</v>
      </c>
      <c r="D35" s="1161">
        <v>3.6930272282590328</v>
      </c>
      <c r="E35" s="1055">
        <v>7.2110198435980344</v>
      </c>
      <c r="F35" s="1055">
        <v>6.9998593799434996</v>
      </c>
      <c r="G35" s="1055">
        <v>5.9534765715655489</v>
      </c>
      <c r="H35" s="1055">
        <v>6.3465136141295169</v>
      </c>
      <c r="I35" s="1139">
        <v>6.5667239161985744</v>
      </c>
      <c r="J35" s="1055">
        <v>6.84578262471031</v>
      </c>
      <c r="K35" s="1130">
        <v>4.4919119906550184</v>
      </c>
      <c r="L35" s="782">
        <v>6.1998031319209002</v>
      </c>
      <c r="M35" s="782">
        <v>6.5998312559321999</v>
      </c>
      <c r="N35" s="782">
        <v>6.087751298395002</v>
      </c>
      <c r="O35" s="782">
        <v>4.6545822985586307</v>
      </c>
      <c r="P35" s="783">
        <v>7.9416250664343941</v>
      </c>
      <c r="Q35" s="782">
        <v>6.4075214562122209</v>
      </c>
      <c r="R35" s="986">
        <v>6.702013381240004</v>
      </c>
      <c r="S35" s="473"/>
    </row>
    <row r="36" spans="1:54" s="25" customFormat="1" ht="16.5" customHeight="1" x14ac:dyDescent="0.2">
      <c r="A36" s="784" t="s">
        <v>7</v>
      </c>
      <c r="B36" s="1098">
        <v>5.5386407434438247</v>
      </c>
      <c r="C36" s="1157">
        <v>6.8892873278950209</v>
      </c>
      <c r="D36" s="1059">
        <v>6.0777655809295519</v>
      </c>
      <c r="E36" s="1016">
        <v>6.9043570914871975</v>
      </c>
      <c r="F36" s="1016" t="s">
        <v>253</v>
      </c>
      <c r="G36" s="1016">
        <v>7.6029047276581316</v>
      </c>
      <c r="H36" s="1057" t="s">
        <v>254</v>
      </c>
      <c r="I36" s="1016">
        <v>6.9043570914871975</v>
      </c>
      <c r="J36" s="1057">
        <v>6.4333720955307907</v>
      </c>
      <c r="K36" s="1066">
        <v>6.7364469522452097</v>
      </c>
      <c r="L36" s="760">
        <v>6.4813506794315323</v>
      </c>
      <c r="M36" s="733" t="s">
        <v>137</v>
      </c>
      <c r="N36" s="760">
        <v>6.7364469522452097</v>
      </c>
      <c r="O36" s="760">
        <v>6.3862740771075472</v>
      </c>
      <c r="P36" s="760">
        <v>8.5060522294816998</v>
      </c>
      <c r="Q36" s="733" t="s">
        <v>137</v>
      </c>
      <c r="R36" s="980">
        <v>7.6931370385537736</v>
      </c>
      <c r="S36" s="473"/>
    </row>
    <row r="37" spans="1:54" s="25" customFormat="1" ht="16.5" customHeight="1" x14ac:dyDescent="0.2">
      <c r="A37" s="780" t="s">
        <v>8</v>
      </c>
      <c r="B37" s="1099">
        <v>6.3913264353079944</v>
      </c>
      <c r="C37" s="1158">
        <v>6.6834904698307085</v>
      </c>
      <c r="D37" s="1162" t="s">
        <v>5</v>
      </c>
      <c r="E37" s="1053">
        <v>6.9081533277986171</v>
      </c>
      <c r="F37" s="1053" t="s">
        <v>220</v>
      </c>
      <c r="G37" s="1053">
        <v>6.6706181292025128</v>
      </c>
      <c r="H37" s="1061">
        <v>6.5248936386490382</v>
      </c>
      <c r="I37" s="1053">
        <v>6.6706181292025128</v>
      </c>
      <c r="J37" s="1061" t="s">
        <v>5</v>
      </c>
      <c r="K37" s="1126">
        <v>6.826089169261996</v>
      </c>
      <c r="L37" s="739">
        <v>7.2250092394606664</v>
      </c>
      <c r="M37" s="743">
        <v>6.5605085366003024</v>
      </c>
      <c r="N37" s="743">
        <v>6.0122453413976578</v>
      </c>
      <c r="O37" s="743">
        <v>6.826089169261996</v>
      </c>
      <c r="P37" s="743">
        <v>6.6333456526142225</v>
      </c>
      <c r="Q37" s="743">
        <v>6.28865682732709</v>
      </c>
      <c r="R37" s="744">
        <v>6.6706181292025128</v>
      </c>
      <c r="S37" s="473"/>
    </row>
    <row r="38" spans="1:54" ht="11.25" customHeight="1" x14ac:dyDescent="0.2">
      <c r="A38" s="785"/>
      <c r="B38" s="786"/>
      <c r="C38" s="787"/>
      <c r="D38" s="789"/>
      <c r="E38" s="790"/>
      <c r="F38" s="790"/>
      <c r="G38" s="790"/>
      <c r="H38" s="788"/>
      <c r="I38" s="790"/>
      <c r="J38" s="788"/>
      <c r="K38" s="790"/>
      <c r="L38" s="790"/>
      <c r="M38" s="790"/>
      <c r="N38" s="790"/>
      <c r="O38" s="790"/>
      <c r="P38" s="790"/>
      <c r="Q38" s="790"/>
      <c r="R38" s="790"/>
      <c r="S38" s="893"/>
    </row>
    <row r="39" spans="1:54" s="25" customFormat="1" ht="16.5" customHeight="1" x14ac:dyDescent="0.2">
      <c r="A39" s="275" t="s">
        <v>9</v>
      </c>
      <c r="B39" s="791" t="s">
        <v>5</v>
      </c>
      <c r="C39" s="792" t="s">
        <v>5</v>
      </c>
      <c r="D39" s="793">
        <v>2017</v>
      </c>
      <c r="E39" s="674">
        <v>2014</v>
      </c>
      <c r="F39" s="674" t="s">
        <v>5</v>
      </c>
      <c r="G39" s="674">
        <v>2014</v>
      </c>
      <c r="H39" s="674">
        <v>2019</v>
      </c>
      <c r="I39" s="674">
        <v>2015</v>
      </c>
      <c r="J39" s="674">
        <v>2017</v>
      </c>
      <c r="K39" s="674">
        <v>2011</v>
      </c>
      <c r="L39" s="674">
        <v>2012</v>
      </c>
      <c r="M39" s="674">
        <v>2018</v>
      </c>
      <c r="N39" s="794">
        <v>2009</v>
      </c>
      <c r="O39" s="674">
        <v>2004</v>
      </c>
      <c r="P39" s="674">
        <v>2015</v>
      </c>
      <c r="Q39" s="674">
        <v>2018</v>
      </c>
      <c r="R39" s="987">
        <v>2019</v>
      </c>
      <c r="S39" s="473"/>
    </row>
    <row r="40" spans="1:54" s="25" customFormat="1" ht="16.5" customHeight="1" x14ac:dyDescent="0.2">
      <c r="A40" s="1289" t="s">
        <v>405</v>
      </c>
      <c r="B40" s="213" t="s">
        <v>5</v>
      </c>
      <c r="C40" s="213" t="s">
        <v>5</v>
      </c>
      <c r="D40" s="1290" t="s">
        <v>409</v>
      </c>
      <c r="E40" s="1290" t="s">
        <v>411</v>
      </c>
      <c r="F40" s="1297" t="s">
        <v>409</v>
      </c>
      <c r="G40" s="1290" t="s">
        <v>415</v>
      </c>
      <c r="H40" s="1290" t="s">
        <v>415</v>
      </c>
      <c r="I40" s="1290" t="s">
        <v>424</v>
      </c>
      <c r="J40" s="1290" t="s">
        <v>424</v>
      </c>
      <c r="K40" s="1290" t="s">
        <v>415</v>
      </c>
      <c r="L40" s="1290" t="s">
        <v>413</v>
      </c>
      <c r="M40" s="1290" t="s">
        <v>415</v>
      </c>
      <c r="N40" s="1290" t="s">
        <v>413</v>
      </c>
      <c r="O40" s="1290" t="s">
        <v>425</v>
      </c>
      <c r="P40" s="1290" t="s">
        <v>411</v>
      </c>
      <c r="Q40" s="1290" t="s">
        <v>415</v>
      </c>
      <c r="R40" s="1290" t="s">
        <v>415</v>
      </c>
      <c r="S40" s="473"/>
    </row>
    <row r="41" spans="1:54" s="25" customFormat="1" ht="16.5" customHeight="1" x14ac:dyDescent="0.2">
      <c r="A41" s="1289" t="s">
        <v>406</v>
      </c>
      <c r="B41" s="213" t="s">
        <v>5</v>
      </c>
      <c r="C41" s="213" t="s">
        <v>5</v>
      </c>
      <c r="D41" s="1291" t="s">
        <v>409</v>
      </c>
      <c r="E41" s="1290" t="s">
        <v>412</v>
      </c>
      <c r="F41" s="1290" t="s">
        <v>410</v>
      </c>
      <c r="G41" s="1290" t="s">
        <v>419</v>
      </c>
      <c r="H41" s="1290" t="s">
        <v>419</v>
      </c>
      <c r="I41" s="1290" t="s">
        <v>417</v>
      </c>
      <c r="J41" s="1291" t="s">
        <v>414</v>
      </c>
      <c r="K41" s="1290" t="s">
        <v>419</v>
      </c>
      <c r="L41" s="1290" t="s">
        <v>414</v>
      </c>
      <c r="M41" s="1290" t="s">
        <v>408</v>
      </c>
      <c r="N41" s="1290" t="s">
        <v>414</v>
      </c>
      <c r="O41" s="1290" t="s">
        <v>419</v>
      </c>
      <c r="P41" s="1295" t="s">
        <v>412</v>
      </c>
      <c r="Q41" s="1290" t="s">
        <v>408</v>
      </c>
      <c r="R41" s="1290" t="s">
        <v>408</v>
      </c>
      <c r="S41" s="473"/>
    </row>
    <row r="42" spans="1:54" s="8" customFormat="1" ht="16.5" customHeight="1" x14ac:dyDescent="0.2">
      <c r="A42" s="150" t="s">
        <v>10</v>
      </c>
      <c r="B42" s="795"/>
      <c r="C42" s="796"/>
      <c r="D42" s="797"/>
      <c r="E42" s="788"/>
      <c r="F42" s="788"/>
      <c r="G42" s="788"/>
      <c r="H42" s="788"/>
      <c r="I42" s="788"/>
      <c r="J42" s="788"/>
      <c r="K42" s="788"/>
      <c r="L42" s="788"/>
      <c r="M42" s="788"/>
      <c r="N42" s="788"/>
      <c r="O42" s="788"/>
      <c r="P42" s="790"/>
      <c r="Q42" s="788"/>
      <c r="R42" s="790"/>
      <c r="S42" s="893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</row>
    <row r="43" spans="1:54" s="8" customFormat="1" ht="16.5" customHeight="1" x14ac:dyDescent="0.2">
      <c r="A43" s="798" t="s">
        <v>27</v>
      </c>
      <c r="B43" s="799" t="s">
        <v>5</v>
      </c>
      <c r="C43" s="800" t="s">
        <v>5</v>
      </c>
      <c r="D43" s="1167">
        <v>13</v>
      </c>
      <c r="E43" s="1163">
        <v>10</v>
      </c>
      <c r="F43" s="1163">
        <v>6</v>
      </c>
      <c r="G43" s="1163">
        <v>13</v>
      </c>
      <c r="H43" s="1163">
        <v>9</v>
      </c>
      <c r="I43" s="1163">
        <v>15</v>
      </c>
      <c r="J43" s="1163">
        <v>13</v>
      </c>
      <c r="K43" s="1163">
        <v>13</v>
      </c>
      <c r="L43" s="1163">
        <v>15</v>
      </c>
      <c r="M43" s="1163">
        <v>12</v>
      </c>
      <c r="N43" s="1163">
        <v>31</v>
      </c>
      <c r="O43" s="1163">
        <v>35</v>
      </c>
      <c r="P43" s="1164">
        <v>15</v>
      </c>
      <c r="Q43" s="1163">
        <v>12</v>
      </c>
      <c r="R43" s="1164">
        <v>9</v>
      </c>
      <c r="S43" s="893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</row>
    <row r="44" spans="1:54" s="8" customFormat="1" ht="16.5" customHeight="1" x14ac:dyDescent="0.2">
      <c r="A44" s="801" t="s">
        <v>28</v>
      </c>
      <c r="B44" s="802" t="s">
        <v>5</v>
      </c>
      <c r="C44" s="803" t="s">
        <v>5</v>
      </c>
      <c r="D44" s="1168">
        <v>12</v>
      </c>
      <c r="E44" s="1165">
        <v>9</v>
      </c>
      <c r="F44" s="1165">
        <v>6</v>
      </c>
      <c r="G44" s="1165">
        <v>12</v>
      </c>
      <c r="H44" s="1165">
        <v>6</v>
      </c>
      <c r="I44" s="1165">
        <v>14</v>
      </c>
      <c r="J44" s="1165">
        <v>12</v>
      </c>
      <c r="K44" s="1165">
        <v>12</v>
      </c>
      <c r="L44" s="1165">
        <v>13</v>
      </c>
      <c r="M44" s="1165">
        <v>9</v>
      </c>
      <c r="N44" s="1165">
        <v>29</v>
      </c>
      <c r="O44" s="1165">
        <v>33</v>
      </c>
      <c r="P44" s="1165">
        <v>14</v>
      </c>
      <c r="Q44" s="1165">
        <v>9</v>
      </c>
      <c r="R44" s="1165">
        <v>6</v>
      </c>
      <c r="S44" s="893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</row>
    <row r="45" spans="1:54" s="8" customFormat="1" ht="16.5" customHeight="1" thickBot="1" x14ac:dyDescent="0.25">
      <c r="A45" s="804" t="s">
        <v>29</v>
      </c>
      <c r="B45" s="805" t="s">
        <v>5</v>
      </c>
      <c r="C45" s="806" t="s">
        <v>5</v>
      </c>
      <c r="D45" s="1169">
        <v>9</v>
      </c>
      <c r="E45" s="1166">
        <v>8</v>
      </c>
      <c r="F45" s="1166">
        <v>6</v>
      </c>
      <c r="G45" s="1166">
        <v>11</v>
      </c>
      <c r="H45" s="1166">
        <v>6</v>
      </c>
      <c r="I45" s="1166">
        <v>13</v>
      </c>
      <c r="J45" s="1166">
        <v>9</v>
      </c>
      <c r="K45" s="1166">
        <v>11</v>
      </c>
      <c r="L45" s="1166">
        <v>13</v>
      </c>
      <c r="M45" s="1166">
        <v>6</v>
      </c>
      <c r="N45" s="1166">
        <v>26</v>
      </c>
      <c r="O45" s="1166">
        <v>31</v>
      </c>
      <c r="P45" s="1166">
        <v>13</v>
      </c>
      <c r="Q45" s="1166">
        <v>6</v>
      </c>
      <c r="R45" s="1166">
        <v>6</v>
      </c>
      <c r="S45" s="893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</row>
    <row r="46" spans="1:54" s="8" customFormat="1" ht="16.5" customHeight="1" x14ac:dyDescent="0.2">
      <c r="A46" s="354"/>
      <c r="B46" s="355"/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355"/>
      <c r="R46" s="355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</row>
    <row r="47" spans="1:54" s="8" customFormat="1" ht="16.5" customHeight="1" x14ac:dyDescent="0.2">
      <c r="A47" s="8" t="s">
        <v>77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</row>
    <row r="48" spans="1:54" ht="16.5" customHeight="1" x14ac:dyDescent="0.2">
      <c r="A48" s="807" t="s">
        <v>72</v>
      </c>
      <c r="B48" s="789"/>
      <c r="C48" s="789"/>
      <c r="D48" s="789"/>
      <c r="F48" s="91"/>
      <c r="M48" s="91"/>
      <c r="N48" s="91"/>
      <c r="P48" s="91"/>
      <c r="Q48" s="91"/>
      <c r="R48" s="91"/>
    </row>
    <row r="49" spans="1:18" ht="16.5" customHeight="1" x14ac:dyDescent="0.2">
      <c r="A49" s="807" t="s">
        <v>366</v>
      </c>
      <c r="B49" s="789"/>
      <c r="C49" s="789"/>
      <c r="D49" s="789"/>
      <c r="F49" s="91"/>
      <c r="M49" s="91"/>
      <c r="N49" s="91"/>
      <c r="P49" s="91"/>
      <c r="Q49" s="91"/>
      <c r="R49" s="91"/>
    </row>
    <row r="50" spans="1:18" ht="16.5" customHeight="1" x14ac:dyDescent="0.2">
      <c r="A50" s="807" t="s">
        <v>61</v>
      </c>
      <c r="B50" s="789"/>
      <c r="C50" s="789"/>
      <c r="D50" s="789"/>
      <c r="O50" s="91"/>
      <c r="P50" s="91"/>
      <c r="R50" s="91"/>
    </row>
    <row r="51" spans="1:18" ht="16.5" customHeight="1" x14ac:dyDescent="0.2">
      <c r="A51" s="807" t="s">
        <v>62</v>
      </c>
      <c r="B51" s="789"/>
      <c r="C51" s="789"/>
      <c r="D51" s="789"/>
      <c r="O51" s="91"/>
      <c r="P51" s="91"/>
      <c r="R51" s="91"/>
    </row>
    <row r="52" spans="1:18" ht="16.5" customHeight="1" x14ac:dyDescent="0.2">
      <c r="A52" s="6" t="s">
        <v>64</v>
      </c>
      <c r="B52" s="96"/>
      <c r="C52" s="96"/>
      <c r="D52" s="96"/>
    </row>
    <row r="53" spans="1:18" ht="16.5" customHeight="1" x14ac:dyDescent="0.2">
      <c r="A53" s="808" t="s">
        <v>112</v>
      </c>
    </row>
    <row r="55" spans="1:18" x14ac:dyDescent="0.2">
      <c r="B55" s="453" t="s">
        <v>1</v>
      </c>
      <c r="C55" s="1278" t="s">
        <v>367</v>
      </c>
    </row>
    <row r="56" spans="1:18" x14ac:dyDescent="0.2">
      <c r="B56" s="453" t="s">
        <v>4</v>
      </c>
      <c r="C56" s="1278" t="s">
        <v>368</v>
      </c>
    </row>
    <row r="57" spans="1:18" x14ac:dyDescent="0.2">
      <c r="B57" s="453" t="s">
        <v>2</v>
      </c>
      <c r="C57" s="1278" t="s">
        <v>369</v>
      </c>
    </row>
    <row r="58" spans="1:18" x14ac:dyDescent="0.2">
      <c r="B58" s="453" t="s">
        <v>3</v>
      </c>
      <c r="C58" s="1278" t="s">
        <v>370</v>
      </c>
    </row>
    <row r="63" spans="1:18" x14ac:dyDescent="0.2">
      <c r="B63" s="6"/>
      <c r="C63" s="6"/>
    </row>
    <row r="64" spans="1:18" x14ac:dyDescent="0.2">
      <c r="B64" s="6"/>
      <c r="C64" s="6"/>
    </row>
  </sheetData>
  <printOptions horizontalCentered="1" verticalCentered="1"/>
  <pageMargins left="0.39370078740157483" right="0.39370078740157483" top="0.39370078740157483" bottom="0.39370078740157483" header="0.19685039370078741" footer="0.15748031496062992"/>
  <pageSetup paperSize="8" scale="7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J48"/>
  <sheetViews>
    <sheetView topLeftCell="B1" zoomScale="90" zoomScaleNormal="90" workbookViewId="0">
      <selection activeCell="M19" sqref="M19"/>
    </sheetView>
  </sheetViews>
  <sheetFormatPr defaultColWidth="9.140625" defaultRowHeight="12.75" x14ac:dyDescent="0.2"/>
  <cols>
    <col min="1" max="1" width="43.85546875" style="8" customWidth="1"/>
    <col min="2" max="2" width="10" style="96" customWidth="1"/>
    <col min="3" max="3" width="9.42578125" style="96" customWidth="1"/>
    <col min="4" max="16" width="8.7109375" style="96" customWidth="1"/>
    <col min="17" max="17" width="8.140625" style="96" customWidth="1"/>
    <col min="18" max="18" width="4.85546875" style="6" customWidth="1"/>
    <col min="19" max="19" width="9.140625" style="6"/>
    <col min="20" max="21" width="9.28515625" style="6" customWidth="1"/>
    <col min="22" max="36" width="9.140625" style="6"/>
    <col min="37" max="16384" width="9.140625" style="8"/>
  </cols>
  <sheetData>
    <row r="1" spans="1:36" s="59" customFormat="1" ht="15" x14ac:dyDescent="0.25">
      <c r="A1" s="57" t="s">
        <v>239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</row>
    <row r="2" spans="1:36" s="59" customFormat="1" ht="12" customHeight="1" thickBot="1" x14ac:dyDescent="0.3">
      <c r="A2" s="61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98.25" customHeight="1" x14ac:dyDescent="0.2">
      <c r="A3" s="345"/>
      <c r="B3" s="148" t="s">
        <v>138</v>
      </c>
      <c r="C3" s="148" t="s">
        <v>344</v>
      </c>
      <c r="D3" s="885" t="s">
        <v>86</v>
      </c>
      <c r="E3" s="886" t="s">
        <v>147</v>
      </c>
      <c r="F3" s="887" t="s">
        <v>33</v>
      </c>
      <c r="G3" s="886" t="s">
        <v>31</v>
      </c>
      <c r="H3" s="886" t="s">
        <v>32</v>
      </c>
      <c r="I3" s="885" t="s">
        <v>444</v>
      </c>
      <c r="J3" s="697" t="s">
        <v>35</v>
      </c>
      <c r="K3" s="697" t="s">
        <v>34</v>
      </c>
      <c r="L3" s="697" t="s">
        <v>36</v>
      </c>
      <c r="M3" s="886" t="s">
        <v>210</v>
      </c>
      <c r="N3" s="697" t="s">
        <v>130</v>
      </c>
      <c r="O3" s="22" t="s">
        <v>38</v>
      </c>
      <c r="P3" s="22" t="s">
        <v>37</v>
      </c>
      <c r="Q3" s="969" t="s">
        <v>90</v>
      </c>
      <c r="R3" s="893"/>
    </row>
    <row r="4" spans="1:36" ht="22.15" customHeight="1" x14ac:dyDescent="0.2">
      <c r="A4" s="43" t="s">
        <v>26</v>
      </c>
      <c r="B4" s="999" t="s">
        <v>5</v>
      </c>
      <c r="C4" s="999" t="s">
        <v>5</v>
      </c>
      <c r="D4" s="841" t="s">
        <v>1</v>
      </c>
      <c r="E4" s="673" t="s">
        <v>2</v>
      </c>
      <c r="F4" s="673" t="s">
        <v>1</v>
      </c>
      <c r="G4" s="673" t="s">
        <v>4</v>
      </c>
      <c r="H4" s="673" t="s">
        <v>1</v>
      </c>
      <c r="I4" s="1300" t="s">
        <v>2</v>
      </c>
      <c r="J4" s="673" t="s">
        <v>1</v>
      </c>
      <c r="K4" s="673" t="s">
        <v>1</v>
      </c>
      <c r="L4" s="673" t="s">
        <v>1</v>
      </c>
      <c r="M4" s="673" t="s">
        <v>2</v>
      </c>
      <c r="N4" s="673" t="s">
        <v>2</v>
      </c>
      <c r="O4" s="23" t="s">
        <v>1</v>
      </c>
      <c r="P4" s="23" t="s">
        <v>1</v>
      </c>
      <c r="Q4" s="556" t="s">
        <v>1</v>
      </c>
      <c r="R4" s="893"/>
    </row>
    <row r="5" spans="1:36" ht="18.75" customHeight="1" x14ac:dyDescent="0.2">
      <c r="A5" s="347" t="s">
        <v>11</v>
      </c>
      <c r="B5" s="998" t="s">
        <v>5</v>
      </c>
      <c r="C5" s="998" t="s">
        <v>5</v>
      </c>
      <c r="D5" s="531">
        <v>139.626</v>
      </c>
      <c r="E5" s="532">
        <v>140.13</v>
      </c>
      <c r="F5" s="532">
        <v>141.464</v>
      </c>
      <c r="G5" s="532">
        <v>141.84199999999998</v>
      </c>
      <c r="H5" s="532">
        <v>141.94400000000002</v>
      </c>
      <c r="I5" s="1301">
        <v>142</v>
      </c>
      <c r="J5" s="532">
        <v>142.51499999999999</v>
      </c>
      <c r="K5" s="532">
        <v>142.678</v>
      </c>
      <c r="L5" s="532">
        <v>143.42599999999999</v>
      </c>
      <c r="M5" s="532">
        <v>143.453</v>
      </c>
      <c r="N5" s="532">
        <v>144.346</v>
      </c>
      <c r="O5" s="532">
        <v>144.63400000000001</v>
      </c>
      <c r="P5" s="532">
        <v>144.685</v>
      </c>
      <c r="Q5" s="970">
        <v>145.316</v>
      </c>
      <c r="R5" s="893"/>
    </row>
    <row r="6" spans="1:36" s="25" customFormat="1" ht="18" customHeight="1" x14ac:dyDescent="0.2">
      <c r="A6" s="236" t="s">
        <v>373</v>
      </c>
      <c r="B6" s="237"/>
      <c r="C6" s="237"/>
      <c r="D6" s="227"/>
      <c r="E6" s="227"/>
      <c r="F6" s="227"/>
      <c r="G6" s="227"/>
      <c r="H6" s="227"/>
      <c r="I6" s="1302"/>
      <c r="J6" s="227"/>
      <c r="K6" s="227"/>
      <c r="L6" s="227"/>
      <c r="M6" s="227"/>
      <c r="N6" s="227"/>
      <c r="O6" s="227"/>
      <c r="P6" s="227"/>
      <c r="Q6" s="227"/>
      <c r="R6" s="473"/>
    </row>
    <row r="7" spans="1:36" s="229" customFormat="1" ht="16.5" customHeight="1" x14ac:dyDescent="0.2">
      <c r="A7" s="708" t="s">
        <v>305</v>
      </c>
      <c r="B7" s="404">
        <v>100</v>
      </c>
      <c r="C7" s="404">
        <v>100.1875777160796</v>
      </c>
      <c r="D7" s="585">
        <v>100.02129851036426</v>
      </c>
      <c r="E7" s="118">
        <v>99.222061123726562</v>
      </c>
      <c r="F7" s="586">
        <v>99.428678672836057</v>
      </c>
      <c r="G7" s="118">
        <v>100.68215801086194</v>
      </c>
      <c r="H7" s="118">
        <v>99.10951555494762</v>
      </c>
      <c r="I7" s="1206">
        <v>101.22118963543076</v>
      </c>
      <c r="J7" s="119">
        <v>99.194207645118567</v>
      </c>
      <c r="K7" s="119">
        <v>102.08178672853724</v>
      </c>
      <c r="L7" s="119">
        <v>98.817050770951923</v>
      </c>
      <c r="M7" s="118">
        <v>102.69267748649101</v>
      </c>
      <c r="N7" s="119">
        <v>100.10516265058685</v>
      </c>
      <c r="O7" s="119">
        <v>99.995202326443447</v>
      </c>
      <c r="P7" s="119">
        <v>102.84117643983713</v>
      </c>
      <c r="Q7" s="120">
        <v>100.19928279568019</v>
      </c>
      <c r="R7" s="473"/>
      <c r="S7" s="25"/>
      <c r="T7" s="415"/>
      <c r="U7" s="41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</row>
    <row r="8" spans="1:36" s="184" customFormat="1" ht="17.25" customHeight="1" x14ac:dyDescent="0.2">
      <c r="A8" s="691" t="s">
        <v>306</v>
      </c>
      <c r="B8" s="372">
        <v>100</v>
      </c>
      <c r="C8" s="372">
        <v>99.793108354051668</v>
      </c>
      <c r="D8" s="587">
        <v>98.958281341647435</v>
      </c>
      <c r="E8" s="110">
        <v>101.77689797712122</v>
      </c>
      <c r="F8" s="588">
        <v>100.34192961815691</v>
      </c>
      <c r="G8" s="110">
        <v>94.978107725293441</v>
      </c>
      <c r="H8" s="110">
        <v>100.43483388681967</v>
      </c>
      <c r="I8" s="1207">
        <v>101.92584241063041</v>
      </c>
      <c r="J8" s="109">
        <v>98.191061711623462</v>
      </c>
      <c r="K8" s="109">
        <v>99.227080227184828</v>
      </c>
      <c r="L8" s="109">
        <v>102.03764980192884</v>
      </c>
      <c r="M8" s="110">
        <v>104.37157147340523</v>
      </c>
      <c r="N8" s="109">
        <v>100.24549296301805</v>
      </c>
      <c r="O8" s="109">
        <v>99.358812229738803</v>
      </c>
      <c r="P8" s="109">
        <v>101.72478115718957</v>
      </c>
      <c r="Q8" s="111">
        <v>97.863545212175509</v>
      </c>
      <c r="R8" s="473"/>
      <c r="S8" s="25"/>
      <c r="T8" s="415"/>
      <c r="U8" s="41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</row>
    <row r="9" spans="1:36" s="184" customFormat="1" ht="17.25" customHeight="1" x14ac:dyDescent="0.2">
      <c r="A9" s="691" t="s">
        <v>345</v>
      </c>
      <c r="B9" s="372">
        <v>100</v>
      </c>
      <c r="C9" s="710">
        <v>99.986078987534768</v>
      </c>
      <c r="D9" s="587">
        <v>99.489789926005855</v>
      </c>
      <c r="E9" s="110">
        <v>100.49947955042389</v>
      </c>
      <c r="F9" s="588">
        <v>99.863560075369776</v>
      </c>
      <c r="G9" s="110">
        <v>97.830132868077698</v>
      </c>
      <c r="H9" s="110">
        <v>99.772174720883655</v>
      </c>
      <c r="I9" s="1207">
        <v>101.57351602303059</v>
      </c>
      <c r="J9" s="109">
        <v>98.692634678371022</v>
      </c>
      <c r="K9" s="109">
        <v>100.70933167981012</v>
      </c>
      <c r="L9" s="109">
        <v>100.35066935713141</v>
      </c>
      <c r="M9" s="110">
        <v>103.53212447994811</v>
      </c>
      <c r="N9" s="109">
        <v>100.16129477555933</v>
      </c>
      <c r="O9" s="109">
        <v>99.663172710771462</v>
      </c>
      <c r="P9" s="109">
        <v>102.2587093358471</v>
      </c>
      <c r="Q9" s="111">
        <v>99.074668403622383</v>
      </c>
      <c r="R9" s="473"/>
      <c r="S9" s="25"/>
      <c r="T9" s="415"/>
      <c r="U9" s="41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</row>
    <row r="10" spans="1:36" s="184" customFormat="1" ht="17.25" customHeight="1" x14ac:dyDescent="0.2">
      <c r="A10" s="691" t="s">
        <v>372</v>
      </c>
      <c r="B10" s="372">
        <v>100</v>
      </c>
      <c r="C10" s="372">
        <v>95.473427779693978</v>
      </c>
      <c r="D10" s="609">
        <v>92.871248619894487</v>
      </c>
      <c r="E10" s="609">
        <v>103.68139875901042</v>
      </c>
      <c r="F10" s="609">
        <v>100.36256768225513</v>
      </c>
      <c r="G10" s="609">
        <v>92.760018189836103</v>
      </c>
      <c r="H10" s="609">
        <v>103.568472627964</v>
      </c>
      <c r="I10" s="1303" t="s">
        <v>445</v>
      </c>
      <c r="J10" s="609">
        <v>97.060431939692151</v>
      </c>
      <c r="K10" s="609">
        <v>93.813272488052846</v>
      </c>
      <c r="L10" s="609">
        <v>92.63116677752997</v>
      </c>
      <c r="M10" s="609">
        <v>100.11850682200537</v>
      </c>
      <c r="N10" s="609">
        <v>98.732780155689952</v>
      </c>
      <c r="O10" s="609">
        <v>93.864713876022165</v>
      </c>
      <c r="P10" s="609">
        <v>91.63703630436892</v>
      </c>
      <c r="Q10" s="587">
        <v>93.451939701466245</v>
      </c>
      <c r="R10" s="473"/>
      <c r="S10" s="25"/>
      <c r="T10" s="415"/>
      <c r="U10" s="41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</row>
    <row r="11" spans="1:36" s="184" customFormat="1" ht="30" customHeight="1" x14ac:dyDescent="0.2">
      <c r="A11" s="713" t="s">
        <v>357</v>
      </c>
      <c r="B11" s="201">
        <v>100</v>
      </c>
      <c r="C11" s="201">
        <v>99.091461284093512</v>
      </c>
      <c r="D11" s="562">
        <v>100.51698804953264</v>
      </c>
      <c r="E11" s="202">
        <v>96.618904695684577</v>
      </c>
      <c r="F11" s="563">
        <v>96.658161397312156</v>
      </c>
      <c r="G11" s="202">
        <v>99.240267424134501</v>
      </c>
      <c r="H11" s="202">
        <v>97.293750534474043</v>
      </c>
      <c r="I11" s="1304">
        <v>101.88774535876124</v>
      </c>
      <c r="J11" s="203">
        <v>99.068212731422946</v>
      </c>
      <c r="K11" s="203">
        <v>100.48346113549644</v>
      </c>
      <c r="L11" s="203">
        <v>98.030235847771067</v>
      </c>
      <c r="M11" s="202">
        <v>102.08406421566144</v>
      </c>
      <c r="N11" s="203">
        <v>95.663114320461105</v>
      </c>
      <c r="O11" s="203">
        <v>98.32635558569234</v>
      </c>
      <c r="P11" s="203">
        <v>101.31895201755108</v>
      </c>
      <c r="Q11" s="206">
        <v>100.12703425758902</v>
      </c>
      <c r="R11" s="473"/>
      <c r="S11" s="25"/>
      <c r="T11" s="415"/>
      <c r="U11" s="41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</row>
    <row r="12" spans="1:36" s="242" customFormat="1" ht="18" customHeight="1" x14ac:dyDescent="0.2">
      <c r="A12" s="1279" t="s">
        <v>395</v>
      </c>
      <c r="B12" s="238"/>
      <c r="C12" s="238"/>
      <c r="D12" s="239"/>
      <c r="E12" s="239"/>
      <c r="F12" s="239"/>
      <c r="G12" s="239"/>
      <c r="H12" s="239"/>
      <c r="I12" s="1302"/>
      <c r="J12" s="239"/>
      <c r="K12" s="239"/>
      <c r="L12" s="239"/>
      <c r="M12" s="239"/>
      <c r="N12" s="239"/>
      <c r="O12" s="239"/>
      <c r="P12" s="239"/>
      <c r="Q12" s="239"/>
      <c r="R12" s="959"/>
      <c r="S12" s="233"/>
      <c r="T12" s="415"/>
      <c r="U12" s="415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</row>
    <row r="13" spans="1:36" s="184" customFormat="1" ht="17.25" customHeight="1" x14ac:dyDescent="0.2">
      <c r="A13" s="707" t="s">
        <v>307</v>
      </c>
      <c r="B13" s="404">
        <v>100</v>
      </c>
      <c r="C13" s="404">
        <v>101.1030970663338</v>
      </c>
      <c r="D13" s="585">
        <v>100.92261670173252</v>
      </c>
      <c r="E13" s="118">
        <v>111.59187415248198</v>
      </c>
      <c r="F13" s="586">
        <v>101.64091225699423</v>
      </c>
      <c r="G13" s="118">
        <v>97.915990528080371</v>
      </c>
      <c r="H13" s="118">
        <v>104.15254787901803</v>
      </c>
      <c r="I13" s="1206">
        <v>92.571146677976614</v>
      </c>
      <c r="J13" s="119">
        <v>103.0602561628434</v>
      </c>
      <c r="K13" s="118">
        <v>98.972860799721317</v>
      </c>
      <c r="L13" s="119">
        <v>102.87161939081115</v>
      </c>
      <c r="M13" s="118">
        <v>110.9612627144141</v>
      </c>
      <c r="N13" s="119">
        <v>105.64368872564539</v>
      </c>
      <c r="O13" s="119">
        <v>99.858298966947785</v>
      </c>
      <c r="P13" s="119">
        <v>101.13743694075595</v>
      </c>
      <c r="Q13" s="320">
        <v>97.311324498179886</v>
      </c>
      <c r="R13" s="473"/>
      <c r="S13" s="25"/>
      <c r="T13" s="415"/>
      <c r="U13" s="41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</row>
    <row r="14" spans="1:36" s="184" customFormat="1" ht="18" customHeight="1" x14ac:dyDescent="0.2">
      <c r="A14" s="348" t="s">
        <v>14</v>
      </c>
      <c r="B14" s="240"/>
      <c r="C14" s="240"/>
      <c r="D14" s="566"/>
      <c r="E14" s="568"/>
      <c r="F14" s="567"/>
      <c r="G14" s="568"/>
      <c r="H14" s="568"/>
      <c r="I14" s="1305"/>
      <c r="J14" s="569"/>
      <c r="K14" s="568"/>
      <c r="L14" s="569"/>
      <c r="M14" s="568"/>
      <c r="N14" s="569"/>
      <c r="O14" s="569"/>
      <c r="P14" s="569"/>
      <c r="Q14" s="567"/>
      <c r="R14" s="473"/>
      <c r="S14" s="25"/>
      <c r="T14" s="415"/>
      <c r="U14" s="41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</row>
    <row r="15" spans="1:36" s="184" customFormat="1" ht="17.25" customHeight="1" x14ac:dyDescent="0.2">
      <c r="A15" s="695" t="s">
        <v>308</v>
      </c>
      <c r="B15" s="372">
        <v>100</v>
      </c>
      <c r="C15" s="372">
        <v>97.792013199278657</v>
      </c>
      <c r="D15" s="587">
        <v>102.80411284515843</v>
      </c>
      <c r="E15" s="110">
        <v>96.928605847855863</v>
      </c>
      <c r="F15" s="588">
        <v>93.709885904149303</v>
      </c>
      <c r="G15" s="110">
        <v>95.252181894051972</v>
      </c>
      <c r="H15" s="110">
        <v>98.440255163692996</v>
      </c>
      <c r="I15" s="1207">
        <v>98.830505587526773</v>
      </c>
      <c r="J15" s="109">
        <v>101.45274101835068</v>
      </c>
      <c r="K15" s="110">
        <v>97.000001672610694</v>
      </c>
      <c r="L15" s="109">
        <v>97.498205896961082</v>
      </c>
      <c r="M15" s="110">
        <v>97.775029120123406</v>
      </c>
      <c r="N15" s="109">
        <v>94.668553744745736</v>
      </c>
      <c r="O15" s="109">
        <v>93.782055988228763</v>
      </c>
      <c r="P15" s="109">
        <v>96.676203404937397</v>
      </c>
      <c r="Q15" s="308">
        <v>98.764656899418725</v>
      </c>
      <c r="R15" s="473"/>
      <c r="S15" s="25"/>
      <c r="T15" s="415"/>
      <c r="U15" s="41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</row>
    <row r="16" spans="1:36" s="184" customFormat="1" ht="17.25" customHeight="1" x14ac:dyDescent="0.2">
      <c r="A16" s="872" t="s">
        <v>221</v>
      </c>
      <c r="B16" s="375">
        <f>65+6.40813356311168</f>
        <v>71.408133563111676</v>
      </c>
      <c r="C16" s="375">
        <f>65+6.54740598025154</f>
        <v>71.54740598025154</v>
      </c>
      <c r="D16" s="573">
        <f>65+6.27951030911147</f>
        <v>71.279510309111473</v>
      </c>
      <c r="E16" s="315">
        <f>65+6.05276069284008</f>
        <v>71.052760692840081</v>
      </c>
      <c r="F16" s="589">
        <f>65+7.06167638583629</f>
        <v>72.061676385836293</v>
      </c>
      <c r="G16" s="315">
        <f>65+7.74896734115099</f>
        <v>72.748967341150987</v>
      </c>
      <c r="H16" s="315">
        <f>65+5.55638606232525</f>
        <v>70.556386062325245</v>
      </c>
      <c r="I16" s="1306">
        <v>71.900000000000006</v>
      </c>
      <c r="J16" s="570">
        <v>71.900000000000006</v>
      </c>
      <c r="K16" s="315">
        <f>65+6.75888883821051</f>
        <v>71.75888883821051</v>
      </c>
      <c r="L16" s="570">
        <f>65+6.40819149021297</f>
        <v>71.408191490212971</v>
      </c>
      <c r="M16" s="315">
        <f>65+7.03442735950674</f>
        <v>72.034427359506736</v>
      </c>
      <c r="N16" s="570">
        <f>65+5.68118860444591</f>
        <v>70.681188604445907</v>
      </c>
      <c r="O16" s="570">
        <f>65+7.48274969868891</f>
        <v>72.482749698688906</v>
      </c>
      <c r="P16" s="570">
        <f>65+7.09638606232522</f>
        <v>72.096386062325223</v>
      </c>
      <c r="Q16" s="314">
        <f>65+6.66167288653999</f>
        <v>71.661672886539989</v>
      </c>
      <c r="R16" s="473"/>
      <c r="S16" s="25"/>
      <c r="T16" s="415"/>
      <c r="U16" s="41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</row>
    <row r="17" spans="1:36" s="184" customFormat="1" ht="17.25" customHeight="1" x14ac:dyDescent="0.2">
      <c r="A17" s="695" t="s">
        <v>309</v>
      </c>
      <c r="B17" s="372">
        <v>100</v>
      </c>
      <c r="C17" s="372">
        <v>100.62395842318629</v>
      </c>
      <c r="D17" s="587">
        <v>98.409074145732561</v>
      </c>
      <c r="E17" s="110">
        <v>98.359143922503733</v>
      </c>
      <c r="F17" s="588">
        <v>100.714606235754</v>
      </c>
      <c r="G17" s="110">
        <v>106.16905671627269</v>
      </c>
      <c r="H17" s="110">
        <v>98.31935718632262</v>
      </c>
      <c r="I17" s="1207">
        <v>105.91305514665068</v>
      </c>
      <c r="J17" s="109">
        <v>94.921773623121311</v>
      </c>
      <c r="K17" s="110">
        <v>104.55134218095355</v>
      </c>
      <c r="L17" s="109">
        <v>97.21361801946702</v>
      </c>
      <c r="M17" s="110">
        <v>107.22287511749296</v>
      </c>
      <c r="N17" s="109">
        <v>101.71272763792325</v>
      </c>
      <c r="O17" s="109">
        <v>103.82038669916157</v>
      </c>
      <c r="P17" s="109">
        <v>106.01171304462197</v>
      </c>
      <c r="Q17" s="308">
        <v>101.653754673542</v>
      </c>
      <c r="R17" s="473"/>
      <c r="S17" s="25"/>
      <c r="T17" s="415"/>
      <c r="U17" s="41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</row>
    <row r="18" spans="1:36" s="377" customFormat="1" ht="17.25" customHeight="1" x14ac:dyDescent="0.2">
      <c r="A18" s="873" t="s">
        <v>222</v>
      </c>
      <c r="B18" s="375">
        <f>65+0.848571238659133</f>
        <v>65.848571238659133</v>
      </c>
      <c r="C18" s="375">
        <f>65+0.712921151534167</f>
        <v>65.712921151534161</v>
      </c>
      <c r="D18" s="573">
        <f>65+0.32382409292299</f>
        <v>65.32382409292299</v>
      </c>
      <c r="E18" s="315">
        <f>65+-0.449021030552132</f>
        <v>64.550978969447868</v>
      </c>
      <c r="F18" s="589">
        <f>65+0.548767175272843</f>
        <v>65.548767175272843</v>
      </c>
      <c r="G18" s="315">
        <f>65+0.114518781882765</f>
        <v>65.114518781882765</v>
      </c>
      <c r="H18" s="315">
        <f>65+0.910551689895129</f>
        <v>65.910551689895129</v>
      </c>
      <c r="I18" s="1306">
        <v>65.8</v>
      </c>
      <c r="J18" s="570">
        <f>65+0.593937583562877</f>
        <v>65.593937583562877</v>
      </c>
      <c r="K18" s="315">
        <f>65+1.12250019736618</f>
        <v>66.122500197366179</v>
      </c>
      <c r="L18" s="570">
        <f>65+0.441997809695721</f>
        <v>65.441997809695721</v>
      </c>
      <c r="M18" s="315">
        <f>65+1.36764563611452</f>
        <v>66.367645636114517</v>
      </c>
      <c r="N18" s="570">
        <f>65+-0.557123156155058</f>
        <v>64.442876843844942</v>
      </c>
      <c r="O18" s="570">
        <f>65+0.553278962622372</f>
        <v>65.553278962622372</v>
      </c>
      <c r="P18" s="570">
        <f>65+0.715572042152147</f>
        <v>65.715572042152147</v>
      </c>
      <c r="Q18" s="314">
        <f>65+1.20586081031725</f>
        <v>66.205860810317247</v>
      </c>
      <c r="R18" s="542"/>
      <c r="S18" s="376"/>
      <c r="T18" s="415"/>
      <c r="U18" s="415"/>
      <c r="V18" s="376"/>
      <c r="W18" s="376"/>
      <c r="X18" s="376"/>
      <c r="Y18" s="376"/>
      <c r="Z18" s="376"/>
      <c r="AA18" s="376"/>
      <c r="AB18" s="376"/>
      <c r="AC18" s="376"/>
      <c r="AD18" s="376"/>
      <c r="AE18" s="376"/>
      <c r="AF18" s="376"/>
      <c r="AG18" s="376"/>
      <c r="AH18" s="376"/>
      <c r="AI18" s="376"/>
      <c r="AJ18" s="376"/>
    </row>
    <row r="19" spans="1:36" s="184" customFormat="1" ht="17.25" customHeight="1" x14ac:dyDescent="0.2">
      <c r="A19" s="709" t="s">
        <v>310</v>
      </c>
      <c r="B19" s="405">
        <v>100</v>
      </c>
      <c r="C19" s="405">
        <v>102.17501764457131</v>
      </c>
      <c r="D19" s="590">
        <v>97.735872171271538</v>
      </c>
      <c r="E19" s="560">
        <v>98.929981947401998</v>
      </c>
      <c r="F19" s="591">
        <v>103.99950189664602</v>
      </c>
      <c r="G19" s="560">
        <v>103.59579898771209</v>
      </c>
      <c r="H19" s="560">
        <v>99.026368013802909</v>
      </c>
      <c r="I19" s="1307">
        <v>102.78995293207062</v>
      </c>
      <c r="J19" s="559">
        <v>98.607063788104327</v>
      </c>
      <c r="K19" s="560">
        <v>106.61402202217492</v>
      </c>
      <c r="L19" s="559">
        <v>100.2782173327515</v>
      </c>
      <c r="M19" s="560">
        <v>102.63595072758184</v>
      </c>
      <c r="N19" s="559">
        <v>103.45953986534626</v>
      </c>
      <c r="O19" s="559">
        <v>104.1886009598449</v>
      </c>
      <c r="P19" s="559">
        <v>107.85386127508983</v>
      </c>
      <c r="Q19" s="971">
        <v>101.27165134145584</v>
      </c>
      <c r="R19" s="473"/>
      <c r="S19" s="25"/>
      <c r="T19" s="415"/>
      <c r="U19" s="41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</row>
    <row r="20" spans="1:36" s="180" customFormat="1" ht="18" customHeight="1" x14ac:dyDescent="0.2">
      <c r="A20" s="349" t="s">
        <v>15</v>
      </c>
      <c r="B20" s="226"/>
      <c r="C20" s="226"/>
      <c r="D20" s="227"/>
      <c r="E20" s="227"/>
      <c r="F20" s="227"/>
      <c r="G20" s="227"/>
      <c r="H20" s="227"/>
      <c r="I20" s="1302"/>
      <c r="J20" s="227"/>
      <c r="K20" s="227"/>
      <c r="L20" s="227"/>
      <c r="M20" s="227"/>
      <c r="N20" s="227"/>
      <c r="O20" s="227"/>
      <c r="P20" s="227"/>
      <c r="Q20" s="227"/>
      <c r="R20" s="473"/>
      <c r="S20" s="25"/>
      <c r="T20" s="415"/>
      <c r="U20" s="41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</row>
    <row r="21" spans="1:36" s="25" customFormat="1" ht="17.25" customHeight="1" x14ac:dyDescent="0.2">
      <c r="A21" s="344" t="s">
        <v>364</v>
      </c>
      <c r="B21" s="374">
        <v>57.169406774596688</v>
      </c>
      <c r="C21" s="374">
        <v>58.122850537113031</v>
      </c>
      <c r="D21" s="599">
        <v>56.574483150525126</v>
      </c>
      <c r="E21" s="561">
        <v>58.686608752549176</v>
      </c>
      <c r="F21" s="600">
        <v>58.048744907071757</v>
      </c>
      <c r="G21" s="561">
        <v>55.222696311892868</v>
      </c>
      <c r="H21" s="561">
        <v>57.320639210893077</v>
      </c>
      <c r="I21" s="1308">
        <v>61.067658805488875</v>
      </c>
      <c r="J21" s="578">
        <v>58.449557550904686</v>
      </c>
      <c r="K21" s="578">
        <v>61.258605148226685</v>
      </c>
      <c r="L21" s="578">
        <v>57.982517947104157</v>
      </c>
      <c r="M21" s="561">
        <v>59.899108752549182</v>
      </c>
      <c r="N21" s="578">
        <v>60.681765674450034</v>
      </c>
      <c r="O21" s="578">
        <v>57.772911938165819</v>
      </c>
      <c r="P21" s="578">
        <v>57.199457392711274</v>
      </c>
      <c r="Q21" s="954">
        <v>58.498737588414706</v>
      </c>
      <c r="R21" s="473"/>
      <c r="T21" s="415"/>
      <c r="U21" s="415"/>
    </row>
    <row r="22" spans="1:36" s="25" customFormat="1" ht="17.25" customHeight="1" x14ac:dyDescent="0.2">
      <c r="A22" s="379" t="s">
        <v>285</v>
      </c>
      <c r="B22" s="372">
        <v>53.081319082309882</v>
      </c>
      <c r="C22" s="372">
        <v>54.119642176208437</v>
      </c>
      <c r="D22" s="587">
        <v>48.868292347889358</v>
      </c>
      <c r="E22" s="110">
        <v>55.490738842021933</v>
      </c>
      <c r="F22" s="588">
        <v>55.296160839995927</v>
      </c>
      <c r="G22" s="110">
        <v>52.007061616785137</v>
      </c>
      <c r="H22" s="110">
        <v>54.214974992755486</v>
      </c>
      <c r="I22" s="1207">
        <v>55.842511927773273</v>
      </c>
      <c r="J22" s="109">
        <v>53.527947286837176</v>
      </c>
      <c r="K22" s="109">
        <v>56.835216241304771</v>
      </c>
      <c r="L22" s="109">
        <v>57.731139371809782</v>
      </c>
      <c r="M22" s="110">
        <v>56.990738842021933</v>
      </c>
      <c r="N22" s="109">
        <v>55.318047009013384</v>
      </c>
      <c r="O22" s="109">
        <v>53.543634819425485</v>
      </c>
      <c r="P22" s="109">
        <v>54.983968152758806</v>
      </c>
      <c r="Q22" s="111">
        <v>52.07544553309917</v>
      </c>
      <c r="R22" s="473"/>
      <c r="T22" s="415"/>
      <c r="U22" s="415"/>
    </row>
    <row r="23" spans="1:36" s="229" customFormat="1" ht="17.25" customHeight="1" x14ac:dyDescent="0.2">
      <c r="A23" s="407" t="s">
        <v>287</v>
      </c>
      <c r="B23" s="408">
        <v>3.849943113132583</v>
      </c>
      <c r="C23" s="408">
        <v>3.9437036885116226</v>
      </c>
      <c r="D23" s="596">
        <v>3.4695067990144093</v>
      </c>
      <c r="E23" s="583">
        <v>4.067513717434581</v>
      </c>
      <c r="F23" s="597">
        <v>4.0499433238516325</v>
      </c>
      <c r="G23" s="583">
        <v>3.7529376639956986</v>
      </c>
      <c r="H23" s="583">
        <v>3.9523122418458208</v>
      </c>
      <c r="I23" s="1309">
        <v>4.099278827077927</v>
      </c>
      <c r="J23" s="584">
        <v>3.8902736400013973</v>
      </c>
      <c r="K23" s="584">
        <v>4.1889200265898214</v>
      </c>
      <c r="L23" s="584">
        <v>4.2698218852744239</v>
      </c>
      <c r="M23" s="583">
        <v>4.2029637174345806</v>
      </c>
      <c r="N23" s="584">
        <v>4.0519196449139088</v>
      </c>
      <c r="O23" s="584">
        <v>3.8916902241941216</v>
      </c>
      <c r="P23" s="584">
        <v>4.0217523241941207</v>
      </c>
      <c r="Q23" s="963">
        <v>3.7591127316388553</v>
      </c>
      <c r="R23" s="473"/>
      <c r="S23" s="25"/>
      <c r="T23" s="415"/>
      <c r="U23" s="41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</row>
    <row r="24" spans="1:36" s="190" customFormat="1" ht="17.25" customHeight="1" x14ac:dyDescent="0.2">
      <c r="A24" s="1280" t="s">
        <v>378</v>
      </c>
      <c r="B24" s="406">
        <v>7.0612136868001478</v>
      </c>
      <c r="C24" s="406">
        <v>6.9944891976321317</v>
      </c>
      <c r="D24" s="593">
        <v>6.9315198772380207</v>
      </c>
      <c r="E24" s="854" t="s">
        <v>5</v>
      </c>
      <c r="F24" s="594">
        <v>7.1828692098558804</v>
      </c>
      <c r="G24" s="595">
        <v>7.1971633849514802</v>
      </c>
      <c r="H24" s="595">
        <v>6.6306073794981586</v>
      </c>
      <c r="I24" s="1310" t="s">
        <v>5</v>
      </c>
      <c r="J24" s="387">
        <v>6.8660712009209304</v>
      </c>
      <c r="K24" s="387">
        <v>7.1048590963409008</v>
      </c>
      <c r="L24" s="387">
        <v>7.4182042072484009</v>
      </c>
      <c r="M24" s="854" t="s">
        <v>5</v>
      </c>
      <c r="N24" s="706">
        <v>7.4565743956573343</v>
      </c>
      <c r="O24" s="387">
        <v>7.1093647544836269</v>
      </c>
      <c r="P24" s="387">
        <v>6.8988632879433318</v>
      </c>
      <c r="Q24" s="972">
        <v>6.8080437651599306</v>
      </c>
      <c r="R24" s="473"/>
      <c r="S24" s="25"/>
      <c r="T24" s="415"/>
      <c r="U24" s="41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</row>
    <row r="25" spans="1:36" s="234" customFormat="1" ht="18" customHeight="1" x14ac:dyDescent="0.2">
      <c r="A25" s="350" t="s">
        <v>16</v>
      </c>
      <c r="B25" s="231"/>
      <c r="C25" s="231"/>
      <c r="D25" s="239"/>
      <c r="E25" s="232"/>
      <c r="F25" s="239"/>
      <c r="G25" s="232"/>
      <c r="H25" s="232"/>
      <c r="I25" s="1311"/>
      <c r="J25" s="232"/>
      <c r="K25" s="232"/>
      <c r="L25" s="232"/>
      <c r="M25" s="232"/>
      <c r="N25" s="232"/>
      <c r="O25" s="232"/>
      <c r="P25" s="232"/>
      <c r="Q25" s="232"/>
      <c r="R25" s="959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</row>
    <row r="26" spans="1:36" s="409" customFormat="1" ht="17.25" customHeight="1" x14ac:dyDescent="0.2">
      <c r="A26" s="386" t="s">
        <v>374</v>
      </c>
      <c r="B26" s="332">
        <v>5.0464285714285726</v>
      </c>
      <c r="C26" s="332">
        <v>5.0666666666666673</v>
      </c>
      <c r="D26" s="571">
        <v>6.2</v>
      </c>
      <c r="E26" s="698" t="s">
        <v>5</v>
      </c>
      <c r="F26" s="337">
        <v>3.3</v>
      </c>
      <c r="G26" s="634">
        <v>3.8</v>
      </c>
      <c r="H26" s="337">
        <v>3.8</v>
      </c>
      <c r="I26" s="1312" t="s">
        <v>5</v>
      </c>
      <c r="J26" s="635">
        <v>7.4</v>
      </c>
      <c r="K26" s="635">
        <v>4.55</v>
      </c>
      <c r="L26" s="635">
        <v>3.8</v>
      </c>
      <c r="M26" s="698" t="s">
        <v>5</v>
      </c>
      <c r="N26" s="701" t="s">
        <v>5</v>
      </c>
      <c r="O26" s="635">
        <v>5.7</v>
      </c>
      <c r="P26" s="635">
        <v>5.35</v>
      </c>
      <c r="Q26" s="965">
        <v>5.5</v>
      </c>
      <c r="R26" s="959"/>
      <c r="S26" s="638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</row>
    <row r="27" spans="1:36" s="409" customFormat="1" ht="17.25" customHeight="1" x14ac:dyDescent="0.2">
      <c r="A27" s="386" t="s">
        <v>375</v>
      </c>
      <c r="B27" s="332">
        <v>6.6262211102328568</v>
      </c>
      <c r="C27" s="332">
        <v>6.714239326882276</v>
      </c>
      <c r="D27" s="571">
        <v>6.4896295054315196</v>
      </c>
      <c r="E27" s="698" t="s">
        <v>250</v>
      </c>
      <c r="F27" s="337">
        <v>6.6629722543367187</v>
      </c>
      <c r="G27" s="636">
        <v>6.5176792181508851</v>
      </c>
      <c r="H27" s="337">
        <v>6.8179182178479198</v>
      </c>
      <c r="I27" s="1313" t="s">
        <v>261</v>
      </c>
      <c r="J27" s="337">
        <v>6.3275065283522203</v>
      </c>
      <c r="K27" s="337">
        <v>6.9502910743229904</v>
      </c>
      <c r="L27" s="337">
        <v>7.055475376345159</v>
      </c>
      <c r="M27" s="698" t="s">
        <v>219</v>
      </c>
      <c r="N27" s="698" t="s">
        <v>5</v>
      </c>
      <c r="O27" s="337">
        <v>6.9164092925912728</v>
      </c>
      <c r="P27" s="337">
        <v>6.5747516927126819</v>
      </c>
      <c r="Q27" s="965">
        <v>6.6332000000000004</v>
      </c>
      <c r="R27" s="959"/>
      <c r="S27" s="638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</row>
    <row r="28" spans="1:36" s="410" customFormat="1" ht="17.25" customHeight="1" x14ac:dyDescent="0.2">
      <c r="A28" s="351" t="s">
        <v>376</v>
      </c>
      <c r="B28" s="332">
        <v>6.1665810076898584</v>
      </c>
      <c r="C28" s="332">
        <v>5.9073835297977899</v>
      </c>
      <c r="D28" s="573">
        <v>6.1001572628847613</v>
      </c>
      <c r="E28" s="698" t="s">
        <v>5</v>
      </c>
      <c r="F28" s="337">
        <v>5.7059999999999995</v>
      </c>
      <c r="G28" s="636">
        <v>6.9828451968180527</v>
      </c>
      <c r="H28" s="337">
        <v>5.7474356117057424</v>
      </c>
      <c r="I28" s="1313" t="s">
        <v>5</v>
      </c>
      <c r="J28" s="337">
        <v>5.7059999999999995</v>
      </c>
      <c r="K28" s="337">
        <v>4.9656903936361063</v>
      </c>
      <c r="L28" s="337">
        <v>7.2726118270637601</v>
      </c>
      <c r="M28" s="698" t="s">
        <v>5</v>
      </c>
      <c r="N28" s="698">
        <v>6.5022008287294195</v>
      </c>
      <c r="O28" s="337">
        <v>4.429760476736476</v>
      </c>
      <c r="P28" s="337">
        <v>6.7903176246347083</v>
      </c>
      <c r="Q28" s="965">
        <v>6.4484785715185531</v>
      </c>
      <c r="R28" s="959"/>
      <c r="S28" s="638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</row>
    <row r="29" spans="1:36" s="409" customFormat="1" ht="17.25" customHeight="1" x14ac:dyDescent="0.2">
      <c r="A29" s="390" t="s">
        <v>377</v>
      </c>
      <c r="B29" s="332">
        <v>6.8136812981042931</v>
      </c>
      <c r="C29" s="332">
        <v>6.677020250610922</v>
      </c>
      <c r="D29" s="574">
        <v>6.6523319655453843</v>
      </c>
      <c r="E29" s="339">
        <v>7.5969999999999995</v>
      </c>
      <c r="F29" s="339">
        <v>6.4129958252836161</v>
      </c>
      <c r="G29" s="637">
        <v>2.4643687910041931</v>
      </c>
      <c r="H29" s="339">
        <v>7.0660979600817422</v>
      </c>
      <c r="I29" s="1314">
        <v>6.2292970025641505</v>
      </c>
      <c r="J29" s="339">
        <v>7.6689973328351293</v>
      </c>
      <c r="K29" s="342">
        <v>6.4129958252836161</v>
      </c>
      <c r="L29" s="339">
        <v>7.1176779765406772</v>
      </c>
      <c r="M29" s="339">
        <v>7.4630905036405037</v>
      </c>
      <c r="N29" s="339">
        <v>7.2253297771135054</v>
      </c>
      <c r="O29" s="339">
        <v>6.7816622213918816</v>
      </c>
      <c r="P29" s="339">
        <v>6.5297635943092409</v>
      </c>
      <c r="Q29" s="967">
        <v>5.4506595542270109</v>
      </c>
      <c r="R29" s="959"/>
      <c r="S29" s="638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3"/>
    </row>
    <row r="30" spans="1:36" s="149" customFormat="1" ht="9" customHeight="1" x14ac:dyDescent="0.2">
      <c r="A30" s="352"/>
      <c r="B30" s="84"/>
      <c r="C30" s="84"/>
      <c r="D30" s="72"/>
      <c r="E30" s="223"/>
      <c r="F30" s="72"/>
      <c r="G30" s="223"/>
      <c r="H30" s="223"/>
      <c r="I30" s="1315"/>
      <c r="J30" s="223"/>
      <c r="K30" s="223"/>
      <c r="L30" s="223"/>
      <c r="M30" s="223"/>
      <c r="N30" s="223"/>
      <c r="O30" s="223"/>
      <c r="P30" s="223"/>
      <c r="Q30" s="223"/>
      <c r="R30" s="976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</row>
    <row r="31" spans="1:36" s="234" customFormat="1" ht="17.25" customHeight="1" x14ac:dyDescent="0.2">
      <c r="A31" s="346" t="s">
        <v>9</v>
      </c>
      <c r="B31" s="253" t="s">
        <v>5</v>
      </c>
      <c r="C31" s="51" t="s">
        <v>5</v>
      </c>
      <c r="D31" s="254">
        <v>2012</v>
      </c>
      <c r="E31" s="677">
        <v>2020</v>
      </c>
      <c r="F31" s="255">
        <v>2006</v>
      </c>
      <c r="G31" s="256">
        <v>1991</v>
      </c>
      <c r="H31" s="256">
        <v>2004</v>
      </c>
      <c r="I31" s="1316">
        <v>2021</v>
      </c>
      <c r="J31" s="257">
        <v>2009</v>
      </c>
      <c r="K31" s="257">
        <v>2001</v>
      </c>
      <c r="L31" s="257">
        <v>2004</v>
      </c>
      <c r="M31" s="677">
        <v>2020</v>
      </c>
      <c r="N31" s="257">
        <v>2019</v>
      </c>
      <c r="O31" s="257">
        <v>2005</v>
      </c>
      <c r="P31" s="257">
        <v>2005</v>
      </c>
      <c r="Q31" s="973">
        <v>2013</v>
      </c>
      <c r="R31" s="959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</row>
    <row r="32" spans="1:36" s="234" customFormat="1" ht="17.25" customHeight="1" x14ac:dyDescent="0.2">
      <c r="A32" s="1289" t="s">
        <v>405</v>
      </c>
      <c r="B32" s="213" t="s">
        <v>5</v>
      </c>
      <c r="C32" s="213" t="s">
        <v>5</v>
      </c>
      <c r="D32" s="1297" t="s">
        <v>426</v>
      </c>
      <c r="E32" s="1290" t="s">
        <v>411</v>
      </c>
      <c r="F32" s="1293" t="s">
        <v>427</v>
      </c>
      <c r="G32" s="1290" t="s">
        <v>428</v>
      </c>
      <c r="H32" s="1290" t="s">
        <v>429</v>
      </c>
      <c r="I32" s="1291" t="s">
        <v>417</v>
      </c>
      <c r="J32" s="1290" t="s">
        <v>411</v>
      </c>
      <c r="K32" s="1290" t="s">
        <v>430</v>
      </c>
      <c r="L32" s="1290" t="s">
        <v>411</v>
      </c>
      <c r="M32" s="1290" t="s">
        <v>417</v>
      </c>
      <c r="N32" s="1290" t="s">
        <v>428</v>
      </c>
      <c r="O32" s="1290" t="s">
        <v>428</v>
      </c>
      <c r="P32" s="1290" t="s">
        <v>428</v>
      </c>
      <c r="Q32" s="1297" t="s">
        <v>431</v>
      </c>
      <c r="R32" s="959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</row>
    <row r="33" spans="1:36" s="234" customFormat="1" ht="17.25" customHeight="1" x14ac:dyDescent="0.2">
      <c r="A33" s="1289" t="s">
        <v>406</v>
      </c>
      <c r="B33" s="213" t="s">
        <v>5</v>
      </c>
      <c r="C33" s="213" t="s">
        <v>5</v>
      </c>
      <c r="D33" s="1290" t="s">
        <v>417</v>
      </c>
      <c r="E33" s="1290" t="s">
        <v>412</v>
      </c>
      <c r="F33" s="1290" t="s">
        <v>414</v>
      </c>
      <c r="G33" s="1290" t="s">
        <v>419</v>
      </c>
      <c r="H33" s="1290" t="s">
        <v>408</v>
      </c>
      <c r="I33" s="1291" t="s">
        <v>417</v>
      </c>
      <c r="J33" s="1290" t="s">
        <v>410</v>
      </c>
      <c r="K33" s="1290" t="s">
        <v>408</v>
      </c>
      <c r="L33" s="1291" t="s">
        <v>410</v>
      </c>
      <c r="M33" s="1291" t="s">
        <v>417</v>
      </c>
      <c r="N33" s="1290" t="s">
        <v>419</v>
      </c>
      <c r="O33" s="1290" t="s">
        <v>419</v>
      </c>
      <c r="P33" s="1290" t="s">
        <v>419</v>
      </c>
      <c r="Q33" s="1290" t="s">
        <v>410</v>
      </c>
      <c r="R33" s="959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</row>
    <row r="34" spans="1:36" s="180" customFormat="1" ht="15.75" customHeight="1" x14ac:dyDescent="0.2">
      <c r="A34" s="353" t="s">
        <v>10</v>
      </c>
      <c r="B34" s="235"/>
      <c r="C34" s="235"/>
      <c r="D34" s="243"/>
      <c r="E34" s="198"/>
      <c r="F34" s="243"/>
      <c r="G34" s="198"/>
      <c r="H34" s="198"/>
      <c r="I34" s="1317"/>
      <c r="J34" s="198"/>
      <c r="K34" s="198"/>
      <c r="L34" s="198"/>
      <c r="M34" s="198"/>
      <c r="N34" s="198"/>
      <c r="O34" s="198"/>
      <c r="P34" s="198"/>
      <c r="Q34" s="198"/>
      <c r="R34" s="473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</row>
    <row r="35" spans="1:36" s="229" customFormat="1" ht="15.75" customHeight="1" x14ac:dyDescent="0.2">
      <c r="A35" s="1281" t="s">
        <v>379</v>
      </c>
      <c r="B35" s="393" t="s">
        <v>5</v>
      </c>
      <c r="C35" s="393" t="s">
        <v>5</v>
      </c>
      <c r="D35" s="422">
        <v>8</v>
      </c>
      <c r="E35" s="396">
        <v>3</v>
      </c>
      <c r="F35" s="423">
        <v>14</v>
      </c>
      <c r="G35" s="396">
        <v>7</v>
      </c>
      <c r="H35" s="396">
        <v>8</v>
      </c>
      <c r="I35" s="1318">
        <v>2</v>
      </c>
      <c r="J35" s="394">
        <v>12</v>
      </c>
      <c r="K35" s="396">
        <v>16</v>
      </c>
      <c r="L35" s="394">
        <v>9</v>
      </c>
      <c r="M35" s="396">
        <v>3</v>
      </c>
      <c r="N35" s="394">
        <v>6</v>
      </c>
      <c r="O35" s="394">
        <v>10</v>
      </c>
      <c r="P35" s="394">
        <v>10</v>
      </c>
      <c r="Q35" s="974">
        <v>9</v>
      </c>
      <c r="R35" s="473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</row>
    <row r="36" spans="1:36" s="184" customFormat="1" ht="15.75" customHeight="1" x14ac:dyDescent="0.2">
      <c r="A36" s="397" t="s">
        <v>27</v>
      </c>
      <c r="B36" s="373" t="s">
        <v>5</v>
      </c>
      <c r="C36" s="373" t="s">
        <v>5</v>
      </c>
      <c r="D36" s="411">
        <v>14</v>
      </c>
      <c r="E36" s="400">
        <v>6</v>
      </c>
      <c r="F36" s="424">
        <v>22</v>
      </c>
      <c r="G36" s="400">
        <v>10</v>
      </c>
      <c r="H36" s="400">
        <v>11</v>
      </c>
      <c r="I36" s="1319">
        <v>6</v>
      </c>
      <c r="J36" s="398">
        <v>12</v>
      </c>
      <c r="K36" s="400">
        <v>27</v>
      </c>
      <c r="L36" s="398">
        <v>11</v>
      </c>
      <c r="M36" s="400">
        <v>6</v>
      </c>
      <c r="N36" s="398">
        <v>9</v>
      </c>
      <c r="O36" s="398">
        <v>11</v>
      </c>
      <c r="P36" s="398">
        <v>11</v>
      </c>
      <c r="Q36" s="975">
        <v>14</v>
      </c>
      <c r="R36" s="473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</row>
    <row r="37" spans="1:36" s="184" customFormat="1" ht="15.75" customHeight="1" thickBot="1" x14ac:dyDescent="0.25">
      <c r="A37" s="380" t="s">
        <v>28</v>
      </c>
      <c r="B37" s="403" t="s">
        <v>5</v>
      </c>
      <c r="C37" s="403" t="s">
        <v>5</v>
      </c>
      <c r="D37" s="425">
        <v>14</v>
      </c>
      <c r="E37" s="271">
        <v>6</v>
      </c>
      <c r="F37" s="412">
        <v>20</v>
      </c>
      <c r="G37" s="271">
        <v>10</v>
      </c>
      <c r="H37" s="271">
        <v>11</v>
      </c>
      <c r="I37" s="1320">
        <v>6</v>
      </c>
      <c r="J37" s="322">
        <v>12</v>
      </c>
      <c r="K37" s="271">
        <v>25</v>
      </c>
      <c r="L37" s="322">
        <v>10</v>
      </c>
      <c r="M37" s="271">
        <v>6</v>
      </c>
      <c r="N37" s="322">
        <v>6</v>
      </c>
      <c r="O37" s="322">
        <v>12</v>
      </c>
      <c r="P37" s="322">
        <v>12</v>
      </c>
      <c r="Q37" s="323">
        <v>13</v>
      </c>
      <c r="R37" s="473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</row>
    <row r="38" spans="1:36" x14ac:dyDescent="0.2">
      <c r="A38" s="354"/>
      <c r="B38" s="355"/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5"/>
    </row>
    <row r="39" spans="1:36" x14ac:dyDescent="0.2">
      <c r="A39" s="1" t="s">
        <v>65</v>
      </c>
      <c r="E39" s="105"/>
      <c r="H39" s="105"/>
      <c r="I39" s="105"/>
      <c r="J39" s="105"/>
      <c r="K39" s="105"/>
      <c r="L39" s="105"/>
      <c r="M39" s="105"/>
      <c r="N39" s="105"/>
      <c r="O39" s="105"/>
      <c r="P39" s="105"/>
    </row>
    <row r="40" spans="1:36" x14ac:dyDescent="0.2">
      <c r="A40" s="807" t="s">
        <v>268</v>
      </c>
    </row>
    <row r="41" spans="1:36" x14ac:dyDescent="0.2">
      <c r="A41" s="807" t="s">
        <v>366</v>
      </c>
    </row>
    <row r="42" spans="1:36" x14ac:dyDescent="0.2">
      <c r="A42" s="1" t="s">
        <v>76</v>
      </c>
    </row>
    <row r="43" spans="1:36" s="6" customFormat="1" x14ac:dyDescent="0.2">
      <c r="A43" s="146" t="s">
        <v>112</v>
      </c>
      <c r="B43" s="91"/>
      <c r="C43" s="91"/>
      <c r="D43" s="91"/>
      <c r="E43" s="95"/>
      <c r="F43" s="91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</row>
    <row r="44" spans="1:36" x14ac:dyDescent="0.2">
      <c r="D44" s="6"/>
      <c r="E44" s="25"/>
      <c r="F44" s="6"/>
      <c r="G44" s="25"/>
      <c r="H44" s="25"/>
      <c r="I44" s="25"/>
      <c r="J44" s="25"/>
      <c r="K44" s="25"/>
      <c r="L44" s="233"/>
      <c r="M44" s="25"/>
      <c r="N44" s="233"/>
      <c r="O44" s="25"/>
      <c r="P44" s="25"/>
      <c r="Q44" s="25"/>
    </row>
    <row r="45" spans="1:36" x14ac:dyDescent="0.2">
      <c r="B45" s="453" t="s">
        <v>1</v>
      </c>
      <c r="C45" s="1278" t="s">
        <v>367</v>
      </c>
    </row>
    <row r="46" spans="1:36" x14ac:dyDescent="0.2">
      <c r="B46" s="453" t="s">
        <v>4</v>
      </c>
      <c r="C46" s="1278" t="s">
        <v>368</v>
      </c>
    </row>
    <row r="47" spans="1:36" x14ac:dyDescent="0.2">
      <c r="B47" s="453" t="s">
        <v>2</v>
      </c>
      <c r="C47" s="1278" t="s">
        <v>369</v>
      </c>
    </row>
    <row r="48" spans="1:36" x14ac:dyDescent="0.2">
      <c r="B48" s="453" t="s">
        <v>3</v>
      </c>
      <c r="C48" s="1278" t="s">
        <v>370</v>
      </c>
    </row>
  </sheetData>
  <phoneticPr fontId="5" type="noConversion"/>
  <printOptions horizontalCentered="1" verticalCentered="1"/>
  <pageMargins left="0.39370078740157483" right="0.39370078740157483" top="0.39370078740157483" bottom="0.39370078740157483" header="0.19685039370078741" footer="0.15748031496062992"/>
  <pageSetup paperSize="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N51"/>
  <sheetViews>
    <sheetView topLeftCell="C1" zoomScale="90" zoomScaleNormal="90" workbookViewId="0">
      <selection activeCell="D5" sqref="D5"/>
    </sheetView>
  </sheetViews>
  <sheetFormatPr defaultColWidth="9.140625" defaultRowHeight="12.75" x14ac:dyDescent="0.2"/>
  <cols>
    <col min="1" max="1" width="44.28515625" style="8" customWidth="1"/>
    <col min="2" max="2" width="10.85546875" style="96" customWidth="1"/>
    <col min="3" max="3" width="9.140625" style="96" customWidth="1"/>
    <col min="4" max="4" width="17.85546875" style="96" customWidth="1"/>
    <col min="5" max="6" width="16.85546875" style="96" customWidth="1"/>
    <col min="7" max="7" width="15.28515625" style="96" customWidth="1"/>
    <col min="8" max="8" width="18.7109375" style="96" customWidth="1"/>
    <col min="9" max="9" width="16.85546875" style="96" customWidth="1"/>
    <col min="10" max="10" width="13.85546875" style="96" customWidth="1"/>
    <col min="11" max="11" width="13.5703125" style="96" customWidth="1"/>
    <col min="12" max="12" width="9.28515625" style="96" customWidth="1"/>
    <col min="13" max="13" width="16.28515625" style="96" customWidth="1"/>
    <col min="14" max="14" width="18.28515625" style="96" customWidth="1"/>
    <col min="15" max="66" width="9.140625" style="6"/>
    <col min="67" max="16384" width="9.140625" style="8"/>
  </cols>
  <sheetData>
    <row r="1" spans="1:66" s="59" customFormat="1" ht="15" x14ac:dyDescent="0.25">
      <c r="A1" s="57" t="s">
        <v>240</v>
      </c>
      <c r="B1" s="58"/>
      <c r="C1" s="5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</row>
    <row r="2" spans="1:66" ht="9" customHeight="1" thickBot="1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66" ht="96.6" customHeight="1" x14ac:dyDescent="0.2">
      <c r="A3" s="345"/>
      <c r="B3" s="88" t="s">
        <v>138</v>
      </c>
      <c r="C3" s="148" t="s">
        <v>346</v>
      </c>
      <c r="D3" s="831" t="s">
        <v>148</v>
      </c>
      <c r="E3" s="888" t="s">
        <v>149</v>
      </c>
      <c r="F3" s="697" t="s">
        <v>150</v>
      </c>
      <c r="G3" s="889" t="s">
        <v>267</v>
      </c>
      <c r="H3" s="697" t="s">
        <v>151</v>
      </c>
      <c r="I3" s="697" t="s">
        <v>152</v>
      </c>
      <c r="J3" s="697" t="s">
        <v>153</v>
      </c>
      <c r="K3" s="697" t="s">
        <v>156</v>
      </c>
      <c r="L3" s="889" t="s">
        <v>154</v>
      </c>
      <c r="M3" s="697" t="s">
        <v>155</v>
      </c>
      <c r="N3" s="962" t="s">
        <v>157</v>
      </c>
      <c r="O3" s="893"/>
    </row>
    <row r="4" spans="1:66" ht="27.75" customHeight="1" x14ac:dyDescent="0.2">
      <c r="A4" s="43" t="s">
        <v>26</v>
      </c>
      <c r="B4" s="999" t="s">
        <v>5</v>
      </c>
      <c r="C4" s="999" t="s">
        <v>5</v>
      </c>
      <c r="D4" s="841" t="s">
        <v>1</v>
      </c>
      <c r="E4" s="673" t="s">
        <v>1</v>
      </c>
      <c r="F4" s="673" t="s">
        <v>1</v>
      </c>
      <c r="G4" s="673" t="s">
        <v>3</v>
      </c>
      <c r="H4" s="673" t="s">
        <v>1</v>
      </c>
      <c r="I4" s="673" t="s">
        <v>1</v>
      </c>
      <c r="J4" s="673" t="s">
        <v>4</v>
      </c>
      <c r="K4" s="673" t="s">
        <v>2</v>
      </c>
      <c r="L4" s="673" t="s">
        <v>3</v>
      </c>
      <c r="M4" s="673" t="s">
        <v>4</v>
      </c>
      <c r="N4" s="556" t="s">
        <v>3</v>
      </c>
      <c r="O4" s="893"/>
      <c r="Q4" s="331"/>
      <c r="R4" s="331"/>
      <c r="S4" s="331"/>
      <c r="T4" s="331"/>
      <c r="U4" s="331"/>
      <c r="V4" s="331"/>
      <c r="W4" s="331"/>
      <c r="X4" s="331"/>
      <c r="Y4" s="331"/>
      <c r="Z4" s="525"/>
      <c r="AA4" s="331"/>
      <c r="AB4" s="525"/>
    </row>
    <row r="5" spans="1:66" ht="21.75" customHeight="1" x14ac:dyDescent="0.2">
      <c r="A5" s="347" t="s">
        <v>11</v>
      </c>
      <c r="B5" s="89" t="s">
        <v>5</v>
      </c>
      <c r="C5" s="147" t="s">
        <v>5</v>
      </c>
      <c r="D5" s="92">
        <v>138.85599999999999</v>
      </c>
      <c r="E5" s="508">
        <v>139.316</v>
      </c>
      <c r="F5" s="24">
        <v>140.55500000000001</v>
      </c>
      <c r="G5" s="24">
        <v>141.40800000000002</v>
      </c>
      <c r="H5" s="24">
        <v>141.75200000000001</v>
      </c>
      <c r="I5" s="24">
        <v>141.8125</v>
      </c>
      <c r="J5" s="508">
        <v>141.87299999999999</v>
      </c>
      <c r="K5" s="24">
        <v>141.881</v>
      </c>
      <c r="L5" s="24">
        <v>141.96100000000001</v>
      </c>
      <c r="M5" s="24">
        <v>142.10599999999999</v>
      </c>
      <c r="N5" s="26">
        <v>142.29500000000002</v>
      </c>
      <c r="O5" s="893"/>
    </row>
    <row r="6" spans="1:66" s="185" customFormat="1" ht="18" customHeight="1" x14ac:dyDescent="0.2">
      <c r="A6" s="236" t="s">
        <v>373</v>
      </c>
      <c r="B6" s="237"/>
      <c r="C6" s="23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473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</row>
    <row r="7" spans="1:66" s="184" customFormat="1" ht="17.25" customHeight="1" x14ac:dyDescent="0.2">
      <c r="A7" s="708" t="s">
        <v>305</v>
      </c>
      <c r="B7" s="404">
        <v>100</v>
      </c>
      <c r="C7" s="404">
        <v>99.662360111056699</v>
      </c>
      <c r="D7" s="585">
        <v>98.985071643197458</v>
      </c>
      <c r="E7" s="586">
        <v>97.667216650556625</v>
      </c>
      <c r="F7" s="118">
        <v>101.26932847728646</v>
      </c>
      <c r="G7" s="118">
        <v>103.25492093561695</v>
      </c>
      <c r="H7" s="119">
        <v>100.81589539144198</v>
      </c>
      <c r="I7" s="119">
        <v>99.574288392800966</v>
      </c>
      <c r="J7" s="119">
        <v>103.42327210708919</v>
      </c>
      <c r="K7" s="119">
        <v>102.11662803612172</v>
      </c>
      <c r="L7" s="118">
        <v>102.55324111110778</v>
      </c>
      <c r="M7" s="119">
        <v>100.71164341647091</v>
      </c>
      <c r="N7" s="120">
        <v>102.09581059617187</v>
      </c>
      <c r="O7" s="473"/>
      <c r="P7" s="25"/>
      <c r="Q7" s="25"/>
      <c r="R7" s="331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</row>
    <row r="8" spans="1:66" s="184" customFormat="1" ht="17.25" customHeight="1" x14ac:dyDescent="0.2">
      <c r="A8" s="691" t="s">
        <v>306</v>
      </c>
      <c r="B8" s="372">
        <v>100</v>
      </c>
      <c r="C8" s="372">
        <v>100.37240496270697</v>
      </c>
      <c r="D8" s="587">
        <v>101.62047808512041</v>
      </c>
      <c r="E8" s="588">
        <v>100.70924154715112</v>
      </c>
      <c r="F8" s="110">
        <v>97.789986594177947</v>
      </c>
      <c r="G8" s="200">
        <v>95.878970078596453</v>
      </c>
      <c r="H8" s="109">
        <v>100.22981602886983</v>
      </c>
      <c r="I8" s="109">
        <v>101.5125025582155</v>
      </c>
      <c r="J8" s="109">
        <v>100.38065328787771</v>
      </c>
      <c r="K8" s="109">
        <v>101.98751222095667</v>
      </c>
      <c r="L8" s="200">
        <v>96.921678566223889</v>
      </c>
      <c r="M8" s="109">
        <v>101.80834947880578</v>
      </c>
      <c r="N8" s="268">
        <v>100.45500882658118</v>
      </c>
      <c r="O8" s="473"/>
      <c r="P8" s="25"/>
      <c r="Q8" s="25"/>
      <c r="R8" s="331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</row>
    <row r="9" spans="1:66" s="184" customFormat="1" ht="17.25" customHeight="1" x14ac:dyDescent="0.2">
      <c r="A9" s="691" t="s">
        <v>345</v>
      </c>
      <c r="B9" s="372">
        <v>100</v>
      </c>
      <c r="C9" s="373">
        <v>100.04057814943589</v>
      </c>
      <c r="D9" s="587">
        <v>100.30277486415893</v>
      </c>
      <c r="E9" s="308">
        <v>99.188229098853881</v>
      </c>
      <c r="F9" s="110">
        <v>99.64563559850248</v>
      </c>
      <c r="G9" s="110">
        <v>99.566945507106695</v>
      </c>
      <c r="H9" s="110">
        <v>100.52285571015591</v>
      </c>
      <c r="I9" s="110">
        <v>100.54339547550823</v>
      </c>
      <c r="J9" s="110">
        <v>101.82951939226413</v>
      </c>
      <c r="K9" s="110">
        <v>102.0546524448425</v>
      </c>
      <c r="L9" s="110">
        <v>99.737459838665828</v>
      </c>
      <c r="M9" s="110">
        <v>101.23806232639164</v>
      </c>
      <c r="N9" s="308">
        <v>101.39260983777586</v>
      </c>
      <c r="O9" s="473"/>
      <c r="P9" s="25"/>
      <c r="Q9" s="25"/>
      <c r="R9" s="331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</row>
    <row r="10" spans="1:66" s="184" customFormat="1" ht="17.25" customHeight="1" x14ac:dyDescent="0.2">
      <c r="A10" s="691" t="s">
        <v>372</v>
      </c>
      <c r="B10" s="372">
        <v>100</v>
      </c>
      <c r="C10" s="372">
        <v>108.1478299965509</v>
      </c>
      <c r="D10" s="609">
        <v>107.04020955415339</v>
      </c>
      <c r="E10" s="587">
        <v>113.45877776765995</v>
      </c>
      <c r="F10" s="110">
        <v>102.46672912404546</v>
      </c>
      <c r="G10" s="815">
        <v>105.78495927122287</v>
      </c>
      <c r="H10" s="609">
        <v>109.1740682607159</v>
      </c>
      <c r="I10" s="609">
        <v>108.59936527617984</v>
      </c>
      <c r="J10" s="609">
        <v>101.16111364710916</v>
      </c>
      <c r="K10" s="609">
        <v>110.69251262884178</v>
      </c>
      <c r="L10" s="815">
        <v>105.49647626008388</v>
      </c>
      <c r="M10" s="609">
        <v>101.59161688855197</v>
      </c>
      <c r="N10" s="587">
        <v>99.060898282877574</v>
      </c>
      <c r="O10" s="473"/>
      <c r="P10" s="25"/>
      <c r="Q10" s="25"/>
      <c r="R10" s="331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</row>
    <row r="11" spans="1:66" s="184" customFormat="1" ht="28.5" customHeight="1" x14ac:dyDescent="0.2">
      <c r="A11" s="712" t="s">
        <v>357</v>
      </c>
      <c r="B11" s="201">
        <v>100</v>
      </c>
      <c r="C11" s="201">
        <v>101.63536968863163</v>
      </c>
      <c r="D11" s="562">
        <v>100.63100601960141</v>
      </c>
      <c r="E11" s="563">
        <v>100.25307140196024</v>
      </c>
      <c r="F11" s="202">
        <v>103.99509481742335</v>
      </c>
      <c r="G11" s="592">
        <v>103.36603397841887</v>
      </c>
      <c r="H11" s="203">
        <v>102.86529175702589</v>
      </c>
      <c r="I11" s="203">
        <v>100.43238444714729</v>
      </c>
      <c r="J11" s="203">
        <v>106.41207285293528</v>
      </c>
      <c r="K11" s="203">
        <v>103.11359686374431</v>
      </c>
      <c r="L11" s="592">
        <v>102.43433295338401</v>
      </c>
      <c r="M11" s="203">
        <v>103.08368413073561</v>
      </c>
      <c r="N11" s="954">
        <v>104.14611485286585</v>
      </c>
      <c r="O11" s="473"/>
      <c r="P11" s="25"/>
      <c r="Q11" s="25"/>
      <c r="R11" s="331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</row>
    <row r="12" spans="1:66" s="185" customFormat="1" ht="18" customHeight="1" x14ac:dyDescent="0.2">
      <c r="A12" s="1279" t="s">
        <v>399</v>
      </c>
      <c r="B12" s="238"/>
      <c r="C12" s="238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473"/>
      <c r="P12" s="25"/>
      <c r="Q12" s="25"/>
      <c r="R12" s="331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</row>
    <row r="13" spans="1:66" s="184" customFormat="1" ht="17.25" customHeight="1" x14ac:dyDescent="0.2">
      <c r="A13" s="707" t="s">
        <v>307</v>
      </c>
      <c r="B13" s="404">
        <v>100</v>
      </c>
      <c r="C13" s="404">
        <v>98.014425280599113</v>
      </c>
      <c r="D13" s="585">
        <v>95.409165868179798</v>
      </c>
      <c r="E13" s="586">
        <v>94.094277077541207</v>
      </c>
      <c r="F13" s="118">
        <v>98.15319130775714</v>
      </c>
      <c r="G13" s="118">
        <v>104.90148092673049</v>
      </c>
      <c r="H13" s="119">
        <v>103.52828802983764</v>
      </c>
      <c r="I13" s="119">
        <v>98.887204119679808</v>
      </c>
      <c r="J13" s="118">
        <v>97.084049538954432</v>
      </c>
      <c r="K13" s="119">
        <v>108.47169089577658</v>
      </c>
      <c r="L13" s="118">
        <v>105.99519763962947</v>
      </c>
      <c r="M13" s="119">
        <v>96.387943862623928</v>
      </c>
      <c r="N13" s="120">
        <v>90.109820460584899</v>
      </c>
      <c r="O13" s="473"/>
      <c r="P13" s="25"/>
      <c r="Q13" s="25"/>
      <c r="R13" s="331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</row>
    <row r="14" spans="1:66" s="184" customFormat="1" ht="18" customHeight="1" x14ac:dyDescent="0.2">
      <c r="A14" s="348" t="s">
        <v>14</v>
      </c>
      <c r="B14" s="240"/>
      <c r="C14" s="240"/>
      <c r="D14" s="566"/>
      <c r="E14" s="567"/>
      <c r="F14" s="568"/>
      <c r="G14" s="568"/>
      <c r="H14" s="569"/>
      <c r="I14" s="569"/>
      <c r="J14" s="568"/>
      <c r="K14" s="569"/>
      <c r="L14" s="568"/>
      <c r="M14" s="569"/>
      <c r="N14" s="566"/>
      <c r="O14" s="473"/>
      <c r="P14" s="25"/>
      <c r="Q14" s="25"/>
      <c r="R14" s="331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</row>
    <row r="15" spans="1:66" s="184" customFormat="1" ht="17.25" customHeight="1" x14ac:dyDescent="0.2">
      <c r="A15" s="695" t="s">
        <v>308</v>
      </c>
      <c r="B15" s="372">
        <v>100</v>
      </c>
      <c r="C15" s="372">
        <v>103.97437624129843</v>
      </c>
      <c r="D15" s="587">
        <v>103.9714144012345</v>
      </c>
      <c r="E15" s="588">
        <v>102.85146649881015</v>
      </c>
      <c r="F15" s="110">
        <v>104.86407399648513</v>
      </c>
      <c r="G15" s="200">
        <v>100.05405536366166</v>
      </c>
      <c r="H15" s="109">
        <v>103.97935594063885</v>
      </c>
      <c r="I15" s="109">
        <v>104.20557036932347</v>
      </c>
      <c r="J15" s="110">
        <v>101.97859284043807</v>
      </c>
      <c r="K15" s="109">
        <v>102.40496725347347</v>
      </c>
      <c r="L15" s="200">
        <v>102.53521253789071</v>
      </c>
      <c r="M15" s="109">
        <v>100.28888760803247</v>
      </c>
      <c r="N15" s="268">
        <v>104.13718937207179</v>
      </c>
      <c r="O15" s="473"/>
      <c r="P15" s="25"/>
      <c r="Q15" s="25"/>
      <c r="R15" s="331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</row>
    <row r="16" spans="1:66" s="377" customFormat="1" ht="17.25" customHeight="1" x14ac:dyDescent="0.2">
      <c r="A16" s="872" t="s">
        <v>223</v>
      </c>
      <c r="B16" s="375">
        <f>65+6.40813356311168</f>
        <v>71.408133563111676</v>
      </c>
      <c r="C16" s="375">
        <f>65+6.2</f>
        <v>71.2</v>
      </c>
      <c r="D16" s="573">
        <f>65+5.5379570773097</f>
        <v>70.537957077309699</v>
      </c>
      <c r="E16" s="589">
        <f>65+5.92180653734992</f>
        <v>70.921806537349923</v>
      </c>
      <c r="F16" s="315">
        <f>65+6.59163633265887</f>
        <v>71.591636332658865</v>
      </c>
      <c r="G16" s="583">
        <f>65+7.66442735950672</f>
        <v>72.664427359506718</v>
      </c>
      <c r="H16" s="570">
        <f>65+6.85937186618376</f>
        <v>71.859371866183764</v>
      </c>
      <c r="I16" s="570">
        <f>65+5.87644424779725</f>
        <v>70.876444247797252</v>
      </c>
      <c r="J16" s="315">
        <f>65+8.99344424779724</f>
        <v>73.993444247797242</v>
      </c>
      <c r="K16" s="570">
        <f>65+7.93783640040884</f>
        <v>72.937836400408841</v>
      </c>
      <c r="L16" s="583">
        <f>65+6.69442735950675</f>
        <v>71.694427359506747</v>
      </c>
      <c r="M16" s="570">
        <f>65+8.21630907659274</f>
        <v>73.216309076592736</v>
      </c>
      <c r="N16" s="963">
        <f>65+7.35368697894484</f>
        <v>72.353686978944836</v>
      </c>
      <c r="O16" s="542"/>
      <c r="P16" s="25"/>
      <c r="Q16" s="426"/>
      <c r="R16" s="525"/>
      <c r="S16" s="376"/>
      <c r="T16" s="376"/>
      <c r="U16" s="376"/>
      <c r="V16" s="376"/>
      <c r="W16" s="376"/>
      <c r="X16" s="376"/>
      <c r="Y16" s="376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6"/>
      <c r="AK16" s="376"/>
      <c r="AL16" s="376"/>
      <c r="AM16" s="376"/>
      <c r="AN16" s="376"/>
      <c r="AO16" s="376"/>
      <c r="AP16" s="376"/>
      <c r="AQ16" s="376"/>
      <c r="AR16" s="376"/>
      <c r="AS16" s="376"/>
      <c r="AT16" s="376"/>
      <c r="AU16" s="376"/>
      <c r="AV16" s="376"/>
      <c r="AW16" s="376"/>
      <c r="AX16" s="376"/>
      <c r="AY16" s="376"/>
      <c r="AZ16" s="376"/>
      <c r="BA16" s="376"/>
      <c r="BB16" s="376"/>
      <c r="BC16" s="376"/>
      <c r="BD16" s="376"/>
      <c r="BE16" s="376"/>
      <c r="BF16" s="376"/>
      <c r="BG16" s="376"/>
      <c r="BH16" s="376"/>
      <c r="BI16" s="376"/>
      <c r="BJ16" s="376"/>
      <c r="BK16" s="376"/>
      <c r="BL16" s="376"/>
      <c r="BM16" s="376"/>
      <c r="BN16" s="376"/>
    </row>
    <row r="17" spans="1:66" s="184" customFormat="1" ht="17.25" customHeight="1" x14ac:dyDescent="0.2">
      <c r="A17" s="695" t="s">
        <v>309</v>
      </c>
      <c r="B17" s="372">
        <v>100</v>
      </c>
      <c r="C17" s="372">
        <v>98.876874838264612</v>
      </c>
      <c r="D17" s="587">
        <v>96.934455311063431</v>
      </c>
      <c r="E17" s="588">
        <v>97.967162292790832</v>
      </c>
      <c r="F17" s="110">
        <v>102.96918073775278</v>
      </c>
      <c r="G17" s="200">
        <v>106.397973064447</v>
      </c>
      <c r="H17" s="109">
        <v>100.44227194399404</v>
      </c>
      <c r="I17" s="109">
        <v>96.071303905722033</v>
      </c>
      <c r="J17" s="110">
        <v>106.87910715072627</v>
      </c>
      <c r="K17" s="109">
        <v>99.980870847564447</v>
      </c>
      <c r="L17" s="200">
        <v>100.326218048998</v>
      </c>
      <c r="M17" s="109">
        <v>101.85723497186277</v>
      </c>
      <c r="N17" s="268">
        <v>103.50250501295824</v>
      </c>
      <c r="O17" s="473"/>
      <c r="P17" s="25"/>
      <c r="Q17" s="25"/>
      <c r="R17" s="331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</row>
    <row r="18" spans="1:66" s="377" customFormat="1" ht="17.25" customHeight="1" x14ac:dyDescent="0.2">
      <c r="A18" s="873" t="s">
        <v>224</v>
      </c>
      <c r="B18" s="375">
        <f>65+0.848571238659133</f>
        <v>65.848571238659133</v>
      </c>
      <c r="C18" s="375">
        <f>65+1.1</f>
        <v>66.099999999999994</v>
      </c>
      <c r="D18" s="573">
        <f>65+1.7073245951149</f>
        <v>66.707324595114898</v>
      </c>
      <c r="E18" s="589">
        <f>65+1.17993269633089</f>
        <v>66.179932696330894</v>
      </c>
      <c r="F18" s="315">
        <f>65+0.321323748064856</f>
        <v>65.321323748064856</v>
      </c>
      <c r="G18" s="583">
        <f>65+0.639312302781192</f>
        <v>65.639312302781192</v>
      </c>
      <c r="H18" s="570">
        <f>65+1.50026122426704</f>
        <v>66.500261224267035</v>
      </c>
      <c r="I18" s="570">
        <f>65+0.754864713642732</f>
        <v>65.754864713642732</v>
      </c>
      <c r="J18" s="315">
        <f>65+1.51986471364276</f>
        <v>66.519864713642761</v>
      </c>
      <c r="K18" s="570">
        <f>65+1.5482516949811</f>
        <v>66.548251694981104</v>
      </c>
      <c r="L18" s="583">
        <f>65+1.56264563611452</f>
        <v>66.562645636114524</v>
      </c>
      <c r="M18" s="570">
        <f>65+1.88506502357733</f>
        <v>66.885065023577326</v>
      </c>
      <c r="N18" s="963">
        <f>65+0.506280967425681</f>
        <v>65.506280967425681</v>
      </c>
      <c r="O18" s="542"/>
      <c r="P18" s="25"/>
      <c r="Q18" s="376"/>
      <c r="R18" s="525"/>
      <c r="S18" s="376"/>
      <c r="T18" s="376"/>
      <c r="U18" s="376"/>
      <c r="V18" s="376"/>
      <c r="W18" s="376"/>
      <c r="X18" s="376"/>
      <c r="Y18" s="376"/>
      <c r="Z18" s="376"/>
      <c r="AA18" s="376"/>
      <c r="AB18" s="376"/>
      <c r="AC18" s="376"/>
      <c r="AD18" s="376"/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  <c r="AS18" s="376"/>
      <c r="AT18" s="376"/>
      <c r="AU18" s="376"/>
      <c r="AV18" s="376"/>
      <c r="AW18" s="376"/>
      <c r="AX18" s="376"/>
      <c r="AY18" s="376"/>
      <c r="AZ18" s="376"/>
      <c r="BA18" s="376"/>
      <c r="BB18" s="376"/>
      <c r="BC18" s="376"/>
      <c r="BD18" s="376"/>
      <c r="BE18" s="376"/>
      <c r="BF18" s="376"/>
      <c r="BG18" s="376"/>
      <c r="BH18" s="376"/>
      <c r="BI18" s="376"/>
      <c r="BJ18" s="376"/>
      <c r="BK18" s="376"/>
      <c r="BL18" s="376"/>
      <c r="BM18" s="376"/>
      <c r="BN18" s="376"/>
    </row>
    <row r="19" spans="1:66" s="184" customFormat="1" ht="17.25" customHeight="1" x14ac:dyDescent="0.2">
      <c r="A19" s="709" t="s">
        <v>310</v>
      </c>
      <c r="B19" s="405">
        <v>100</v>
      </c>
      <c r="C19" s="405">
        <v>96.084968239771641</v>
      </c>
      <c r="D19" s="590">
        <v>96.121294234591488</v>
      </c>
      <c r="E19" s="591">
        <v>92.712239134631858</v>
      </c>
      <c r="F19" s="560">
        <v>97.383156431913264</v>
      </c>
      <c r="G19" s="592">
        <v>104.14690908866332</v>
      </c>
      <c r="H19" s="559">
        <v>97.009146908565796</v>
      </c>
      <c r="I19" s="559">
        <v>97.199004489155826</v>
      </c>
      <c r="J19" s="560">
        <v>104.39391348492384</v>
      </c>
      <c r="K19" s="559">
        <v>101.06665522412106</v>
      </c>
      <c r="L19" s="592">
        <v>103.20736770777266</v>
      </c>
      <c r="M19" s="559">
        <v>101.93240462450376</v>
      </c>
      <c r="N19" s="964">
        <v>102.24390087486675</v>
      </c>
      <c r="O19" s="473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</row>
    <row r="20" spans="1:66" s="180" customFormat="1" ht="18" customHeight="1" x14ac:dyDescent="0.2">
      <c r="A20" s="349" t="s">
        <v>15</v>
      </c>
      <c r="B20" s="226"/>
      <c r="C20" s="226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473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</row>
    <row r="21" spans="1:66" s="182" customFormat="1" ht="17.25" customHeight="1" x14ac:dyDescent="0.2">
      <c r="A21" s="344" t="s">
        <v>364</v>
      </c>
      <c r="B21" s="374">
        <v>57.169406774596688</v>
      </c>
      <c r="C21" s="374">
        <v>55.453208002067271</v>
      </c>
      <c r="D21" s="599">
        <v>54.479474385930828</v>
      </c>
      <c r="E21" s="600">
        <v>55.495411944490243</v>
      </c>
      <c r="F21" s="561">
        <v>56.308925571198543</v>
      </c>
      <c r="G21" s="667">
        <v>55.893608752549184</v>
      </c>
      <c r="H21" s="578">
        <v>55.848224420558189</v>
      </c>
      <c r="I21" s="578">
        <v>55.134003688158536</v>
      </c>
      <c r="J21" s="578">
        <v>53.06990368815854</v>
      </c>
      <c r="K21" s="578">
        <v>57.249017572588613</v>
      </c>
      <c r="L21" s="667">
        <v>58.121608752549179</v>
      </c>
      <c r="M21" s="578">
        <v>51.383734213402299</v>
      </c>
      <c r="N21" s="954">
        <v>55.757727791920431</v>
      </c>
      <c r="O21" s="473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</row>
    <row r="22" spans="1:66" s="184" customFormat="1" ht="17.25" customHeight="1" x14ac:dyDescent="0.2">
      <c r="A22" s="413" t="s">
        <v>285</v>
      </c>
      <c r="B22" s="201">
        <v>53.081319082309882</v>
      </c>
      <c r="C22" s="201">
        <v>51.212337513292475</v>
      </c>
      <c r="D22" s="562">
        <v>51.880602942464023</v>
      </c>
      <c r="E22" s="563">
        <v>52.219223167200532</v>
      </c>
      <c r="F22" s="311">
        <v>48.870428256367447</v>
      </c>
      <c r="G22" s="202">
        <v>44.789405508688603</v>
      </c>
      <c r="H22" s="203">
        <v>52.232397386824722</v>
      </c>
      <c r="I22" s="203">
        <v>50.859035813605679</v>
      </c>
      <c r="J22" s="203">
        <v>47.958888490102645</v>
      </c>
      <c r="K22" s="203">
        <v>51.238893571608635</v>
      </c>
      <c r="L22" s="202">
        <v>44.942238842021943</v>
      </c>
      <c r="M22" s="203">
        <v>49.069385306373178</v>
      </c>
      <c r="N22" s="206">
        <v>46.038328010904301</v>
      </c>
      <c r="O22" s="473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</row>
    <row r="23" spans="1:66" s="182" customFormat="1" ht="17.25" customHeight="1" x14ac:dyDescent="0.2">
      <c r="A23" s="1282" t="s">
        <v>290</v>
      </c>
      <c r="B23" s="375">
        <v>3.849943113132583</v>
      </c>
      <c r="C23" s="375">
        <v>3.6811740774503114</v>
      </c>
      <c r="D23" s="573">
        <v>3.7415184457045019</v>
      </c>
      <c r="E23" s="589">
        <v>3.7720958519982082</v>
      </c>
      <c r="F23" s="314">
        <v>3.4696996715499813</v>
      </c>
      <c r="G23" s="315">
        <v>3.1011833174345815</v>
      </c>
      <c r="H23" s="570">
        <v>3.7732854840302732</v>
      </c>
      <c r="I23" s="570">
        <v>3.6492709339685936</v>
      </c>
      <c r="J23" s="570">
        <v>3.3873876306562689</v>
      </c>
      <c r="K23" s="570">
        <v>3.68357208951626</v>
      </c>
      <c r="L23" s="315">
        <v>3.1149841674345815</v>
      </c>
      <c r="M23" s="570">
        <v>3.4876654931654985</v>
      </c>
      <c r="N23" s="316">
        <v>3.2139610193846586</v>
      </c>
      <c r="O23" s="473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</row>
    <row r="24" spans="1:66" s="414" customFormat="1" ht="17.25" customHeight="1" x14ac:dyDescent="0.2">
      <c r="A24" s="1280" t="s">
        <v>378</v>
      </c>
      <c r="B24" s="381">
        <v>7.0612136868001478</v>
      </c>
      <c r="C24" s="381">
        <v>7.1813177673025779</v>
      </c>
      <c r="D24" s="574">
        <v>7.0941878280598907</v>
      </c>
      <c r="E24" s="598">
        <v>7.3417676595191965</v>
      </c>
      <c r="F24" s="668">
        <v>7.2395096284986202</v>
      </c>
      <c r="G24" s="855" t="s">
        <v>5</v>
      </c>
      <c r="H24" s="340">
        <v>7.203834931227763</v>
      </c>
      <c r="I24" s="340">
        <v>7.0272887892074207</v>
      </c>
      <c r="J24" s="340">
        <v>7.1004085415533229</v>
      </c>
      <c r="K24" s="690">
        <v>7.3154491500911778</v>
      </c>
      <c r="L24" s="855" t="s">
        <v>5</v>
      </c>
      <c r="M24" s="340">
        <v>6.9190539056547573</v>
      </c>
      <c r="N24" s="711">
        <v>7.1619079946937738</v>
      </c>
      <c r="O24" s="473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</row>
    <row r="25" spans="1:66" s="180" customFormat="1" ht="18" customHeight="1" x14ac:dyDescent="0.2">
      <c r="A25" s="350" t="s">
        <v>16</v>
      </c>
      <c r="B25" s="231"/>
      <c r="C25" s="231"/>
      <c r="D25" s="239"/>
      <c r="E25" s="239"/>
      <c r="F25" s="232"/>
      <c r="G25" s="232"/>
      <c r="H25" s="232"/>
      <c r="I25" s="232"/>
      <c r="J25" s="232"/>
      <c r="K25" s="232"/>
      <c r="L25" s="232"/>
      <c r="M25" s="232"/>
      <c r="N25" s="232"/>
      <c r="O25" s="473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</row>
    <row r="26" spans="1:66" s="184" customFormat="1" ht="15.75" customHeight="1" x14ac:dyDescent="0.2">
      <c r="A26" s="386" t="s">
        <v>374</v>
      </c>
      <c r="B26" s="332">
        <v>5.0464285714285726</v>
      </c>
      <c r="C26" s="332">
        <v>5.0100000000000007</v>
      </c>
      <c r="D26" s="571">
        <v>5.45</v>
      </c>
      <c r="E26" s="572">
        <v>5.95</v>
      </c>
      <c r="F26" s="635">
        <v>5.2</v>
      </c>
      <c r="G26" s="698" t="s">
        <v>5</v>
      </c>
      <c r="H26" s="338">
        <v>4.05</v>
      </c>
      <c r="I26" s="338">
        <v>4.4000000000000004</v>
      </c>
      <c r="J26" s="338">
        <v>3.8</v>
      </c>
      <c r="K26" s="338" t="s">
        <v>115</v>
      </c>
      <c r="L26" s="698" t="s">
        <v>5</v>
      </c>
      <c r="M26" s="338" t="s">
        <v>103</v>
      </c>
      <c r="N26" s="965" t="s">
        <v>5</v>
      </c>
      <c r="O26" s="473"/>
      <c r="P26" s="41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</row>
    <row r="27" spans="1:66" s="184" customFormat="1" ht="15.75" customHeight="1" x14ac:dyDescent="0.2">
      <c r="A27" s="386" t="s">
        <v>375</v>
      </c>
      <c r="B27" s="332">
        <v>6.6262211102328568</v>
      </c>
      <c r="C27" s="332">
        <v>6.4677883202639022</v>
      </c>
      <c r="D27" s="573">
        <v>6.2246809949124771</v>
      </c>
      <c r="E27" s="572">
        <v>6.9502910743229904</v>
      </c>
      <c r="F27" s="337">
        <v>6.6629722543367187</v>
      </c>
      <c r="G27" s="698" t="s">
        <v>262</v>
      </c>
      <c r="H27" s="338">
        <v>6.1995644738719662</v>
      </c>
      <c r="I27" s="338">
        <v>6.3014328038753602</v>
      </c>
      <c r="J27" s="338">
        <v>6.6629722543367187</v>
      </c>
      <c r="K27" s="338">
        <v>6.6332000000000004</v>
      </c>
      <c r="L27" s="698" t="s">
        <v>261</v>
      </c>
      <c r="M27" s="338">
        <v>7.3687956706776436</v>
      </c>
      <c r="N27" s="966" t="s">
        <v>134</v>
      </c>
      <c r="O27" s="473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</row>
    <row r="28" spans="1:66" s="25" customFormat="1" ht="15.75" customHeight="1" x14ac:dyDescent="0.2">
      <c r="A28" s="351" t="s">
        <v>376</v>
      </c>
      <c r="B28" s="334">
        <v>6.1665810076898584</v>
      </c>
      <c r="C28" s="332">
        <v>6.6331364678955778</v>
      </c>
      <c r="D28" s="574">
        <v>6.6707902627715123</v>
      </c>
      <c r="E28" s="575">
        <v>6.5571042183506885</v>
      </c>
      <c r="F28" s="339">
        <v>6.8525747277262479</v>
      </c>
      <c r="G28" s="699" t="s">
        <v>5</v>
      </c>
      <c r="H28" s="341">
        <v>5.9630820557677229</v>
      </c>
      <c r="I28" s="340">
        <v>7.1221310748617199</v>
      </c>
      <c r="J28" s="341">
        <v>7.3529999999999998</v>
      </c>
      <c r="K28" s="341">
        <v>6.9166914774810717</v>
      </c>
      <c r="L28" s="699" t="s">
        <v>5</v>
      </c>
      <c r="M28" s="700">
        <v>6.6707902627715123</v>
      </c>
      <c r="N28" s="967">
        <v>5.2442621497234398</v>
      </c>
      <c r="O28" s="473"/>
    </row>
    <row r="29" spans="1:66" s="184" customFormat="1" ht="15.75" customHeight="1" x14ac:dyDescent="0.2">
      <c r="A29" s="390" t="s">
        <v>377</v>
      </c>
      <c r="B29" s="333">
        <v>6.8136812981042931</v>
      </c>
      <c r="C29" s="332">
        <v>7.0596711835923642</v>
      </c>
      <c r="D29" s="506">
        <v>6.7816622213918816</v>
      </c>
      <c r="E29" s="676">
        <v>7.4630905036405037</v>
      </c>
      <c r="F29" s="337">
        <v>5.5633658908752013</v>
      </c>
      <c r="G29" s="700">
        <v>7.5969999999999995</v>
      </c>
      <c r="H29" s="339">
        <v>7.7451186510271182</v>
      </c>
      <c r="I29" s="341">
        <v>7.7451186510271182</v>
      </c>
      <c r="J29" s="341">
        <v>1</v>
      </c>
      <c r="K29" s="341">
        <v>7.5969999999999995</v>
      </c>
      <c r="L29" s="700">
        <v>7.4630905036405037</v>
      </c>
      <c r="M29" s="339">
        <v>3.9219927235184082</v>
      </c>
      <c r="N29" s="967">
        <v>7.1176779765406772</v>
      </c>
      <c r="O29" s="473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</row>
    <row r="30" spans="1:66" ht="9" customHeight="1" x14ac:dyDescent="0.2">
      <c r="A30" s="362"/>
      <c r="B30" s="90"/>
      <c r="C30" s="82"/>
      <c r="D30" s="245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893"/>
    </row>
    <row r="31" spans="1:66" s="180" customFormat="1" ht="17.25" customHeight="1" x14ac:dyDescent="0.2">
      <c r="A31" s="346" t="s">
        <v>9</v>
      </c>
      <c r="B31" s="258" t="s">
        <v>5</v>
      </c>
      <c r="C31" s="51" t="s">
        <v>5</v>
      </c>
      <c r="D31" s="259">
        <v>2009</v>
      </c>
      <c r="E31" s="260">
        <v>2012</v>
      </c>
      <c r="F31" s="112">
        <v>2008</v>
      </c>
      <c r="G31" s="220">
        <v>2020</v>
      </c>
      <c r="H31" s="112">
        <v>2009</v>
      </c>
      <c r="I31" s="112">
        <v>2010</v>
      </c>
      <c r="J31" s="220">
        <v>2000</v>
      </c>
      <c r="K31" s="220">
        <v>2017</v>
      </c>
      <c r="L31" s="220">
        <v>2020</v>
      </c>
      <c r="M31" s="220">
        <v>2015</v>
      </c>
      <c r="N31" s="115">
        <v>2018</v>
      </c>
      <c r="O31" s="473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</row>
    <row r="32" spans="1:66" s="180" customFormat="1" ht="17.25" customHeight="1" x14ac:dyDescent="0.2">
      <c r="A32" s="1289" t="s">
        <v>405</v>
      </c>
      <c r="B32" s="213" t="s">
        <v>5</v>
      </c>
      <c r="C32" s="213" t="s">
        <v>5</v>
      </c>
      <c r="D32" s="1290" t="s">
        <v>415</v>
      </c>
      <c r="E32" s="1290" t="s">
        <v>415</v>
      </c>
      <c r="F32" s="1297" t="s">
        <v>432</v>
      </c>
      <c r="G32" s="1297" t="s">
        <v>428</v>
      </c>
      <c r="H32" s="1290" t="s">
        <v>433</v>
      </c>
      <c r="I32" s="1290" t="s">
        <v>415</v>
      </c>
      <c r="J32" s="1290" t="s">
        <v>428</v>
      </c>
      <c r="K32" s="1290" t="s">
        <v>428</v>
      </c>
      <c r="L32" s="1290" t="s">
        <v>417</v>
      </c>
      <c r="M32" s="1290" t="s">
        <v>415</v>
      </c>
      <c r="N32" s="1297" t="s">
        <v>433</v>
      </c>
      <c r="O32" s="473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</row>
    <row r="33" spans="1:66" s="180" customFormat="1" ht="17.25" customHeight="1" x14ac:dyDescent="0.2">
      <c r="A33" s="1289" t="s">
        <v>406</v>
      </c>
      <c r="B33" s="213" t="s">
        <v>5</v>
      </c>
      <c r="C33" s="213" t="s">
        <v>5</v>
      </c>
      <c r="D33" s="1290" t="s">
        <v>408</v>
      </c>
      <c r="E33" s="1290" t="s">
        <v>419</v>
      </c>
      <c r="F33" s="1323" t="s">
        <v>446</v>
      </c>
      <c r="G33" s="1290" t="s">
        <v>408</v>
      </c>
      <c r="H33" s="1290" t="s">
        <v>410</v>
      </c>
      <c r="I33" s="1290" t="s">
        <v>408</v>
      </c>
      <c r="J33" s="1290" t="s">
        <v>419</v>
      </c>
      <c r="K33" s="1290" t="s">
        <v>419</v>
      </c>
      <c r="L33" s="1290" t="s">
        <v>417</v>
      </c>
      <c r="M33" s="1290" t="s">
        <v>408</v>
      </c>
      <c r="N33" s="1290" t="s">
        <v>410</v>
      </c>
      <c r="O33" s="473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</row>
    <row r="34" spans="1:66" s="180" customFormat="1" ht="13.5" customHeight="1" x14ac:dyDescent="0.2">
      <c r="A34" s="353" t="s">
        <v>10</v>
      </c>
      <c r="B34" s="241"/>
      <c r="C34" s="235"/>
      <c r="D34" s="246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473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</row>
    <row r="35" spans="1:66" s="185" customFormat="1" ht="17.25" customHeight="1" x14ac:dyDescent="0.2">
      <c r="A35" s="1283" t="s">
        <v>379</v>
      </c>
      <c r="B35" s="416" t="s">
        <v>5</v>
      </c>
      <c r="C35" s="393" t="s">
        <v>5</v>
      </c>
      <c r="D35" s="417">
        <v>12</v>
      </c>
      <c r="E35" s="196">
        <v>8</v>
      </c>
      <c r="F35" s="195">
        <v>10</v>
      </c>
      <c r="G35" s="195">
        <v>3</v>
      </c>
      <c r="H35" s="195">
        <v>12</v>
      </c>
      <c r="I35" s="195">
        <v>13</v>
      </c>
      <c r="J35" s="195">
        <v>9</v>
      </c>
      <c r="K35" s="195">
        <v>7</v>
      </c>
      <c r="L35" s="195">
        <v>3</v>
      </c>
      <c r="M35" s="195">
        <v>8</v>
      </c>
      <c r="N35" s="968">
        <v>6</v>
      </c>
      <c r="O35" s="473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</row>
    <row r="36" spans="1:66" s="184" customFormat="1" ht="17.25" customHeight="1" x14ac:dyDescent="0.2">
      <c r="A36" s="397" t="s">
        <v>27</v>
      </c>
      <c r="B36" s="418" t="s">
        <v>5</v>
      </c>
      <c r="C36" s="373" t="s">
        <v>5</v>
      </c>
      <c r="D36" s="419">
        <v>12</v>
      </c>
      <c r="E36" s="400">
        <v>14</v>
      </c>
      <c r="F36" s="398">
        <v>16</v>
      </c>
      <c r="G36" s="398">
        <v>6</v>
      </c>
      <c r="H36" s="398">
        <v>12</v>
      </c>
      <c r="I36" s="398">
        <v>10</v>
      </c>
      <c r="J36" s="398">
        <v>10</v>
      </c>
      <c r="K36" s="398">
        <v>13</v>
      </c>
      <c r="L36" s="398">
        <v>6</v>
      </c>
      <c r="M36" s="398">
        <v>13</v>
      </c>
      <c r="N36" s="399">
        <v>12</v>
      </c>
      <c r="O36" s="473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</row>
    <row r="37" spans="1:66" s="184" customFormat="1" ht="17.25" customHeight="1" thickBot="1" x14ac:dyDescent="0.25">
      <c r="A37" s="402" t="s">
        <v>28</v>
      </c>
      <c r="B37" s="420" t="s">
        <v>5</v>
      </c>
      <c r="C37" s="403" t="s">
        <v>5</v>
      </c>
      <c r="D37" s="421">
        <v>12</v>
      </c>
      <c r="E37" s="271">
        <v>14</v>
      </c>
      <c r="F37" s="322">
        <v>14</v>
      </c>
      <c r="G37" s="322">
        <v>6</v>
      </c>
      <c r="H37" s="322">
        <v>12</v>
      </c>
      <c r="I37" s="322">
        <v>10</v>
      </c>
      <c r="J37" s="322">
        <v>11</v>
      </c>
      <c r="K37" s="322">
        <v>12</v>
      </c>
      <c r="L37" s="322">
        <v>6</v>
      </c>
      <c r="M37" s="322">
        <v>12</v>
      </c>
      <c r="N37" s="270">
        <v>9</v>
      </c>
      <c r="O37" s="473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</row>
    <row r="38" spans="1:66" s="6" customFormat="1" ht="12" customHeight="1" x14ac:dyDescent="0.2">
      <c r="A38" s="354"/>
      <c r="B38" s="356"/>
      <c r="C38" s="355"/>
      <c r="D38" s="355"/>
      <c r="E38" s="355"/>
      <c r="F38" s="355"/>
      <c r="G38" s="355"/>
      <c r="H38" s="356"/>
      <c r="I38" s="356"/>
      <c r="J38" s="355"/>
      <c r="K38" s="355"/>
      <c r="L38" s="355"/>
      <c r="M38" s="355"/>
      <c r="N38" s="355"/>
    </row>
    <row r="39" spans="1:66" s="6" customFormat="1" x14ac:dyDescent="0.2">
      <c r="A39" s="1" t="s">
        <v>65</v>
      </c>
      <c r="B39" s="91"/>
      <c r="C39" s="96"/>
      <c r="D39" s="95"/>
      <c r="E39" s="95"/>
      <c r="F39" s="95"/>
      <c r="G39" s="95"/>
      <c r="H39" s="91"/>
      <c r="I39" s="91"/>
      <c r="J39" s="95"/>
      <c r="K39" s="95"/>
      <c r="L39" s="95"/>
      <c r="M39" s="95"/>
      <c r="N39" s="95"/>
    </row>
    <row r="40" spans="1:66" s="6" customFormat="1" x14ac:dyDescent="0.2">
      <c r="A40" s="807" t="s">
        <v>366</v>
      </c>
      <c r="B40" s="91"/>
      <c r="C40" s="96"/>
      <c r="D40" s="95"/>
      <c r="E40" s="95"/>
      <c r="F40" s="95"/>
      <c r="G40" s="95"/>
      <c r="H40" s="91"/>
      <c r="I40" s="91"/>
      <c r="J40" s="95"/>
      <c r="K40" s="95"/>
      <c r="L40" s="95"/>
      <c r="M40" s="95"/>
      <c r="N40" s="95"/>
    </row>
    <row r="41" spans="1:66" s="6" customFormat="1" x14ac:dyDescent="0.2">
      <c r="A41" s="807" t="s">
        <v>269</v>
      </c>
      <c r="B41" s="91"/>
      <c r="C41" s="96"/>
      <c r="D41" s="95"/>
      <c r="E41" s="95"/>
      <c r="F41" s="95"/>
      <c r="G41" s="95"/>
      <c r="H41" s="91"/>
      <c r="I41" s="91"/>
      <c r="J41" s="95"/>
      <c r="K41" s="95"/>
      <c r="L41" s="95"/>
      <c r="M41" s="95"/>
      <c r="N41" s="95"/>
    </row>
    <row r="42" spans="1:66" x14ac:dyDescent="0.2">
      <c r="A42" s="1" t="s">
        <v>76</v>
      </c>
    </row>
    <row r="43" spans="1:66" x14ac:dyDescent="0.2">
      <c r="A43" s="146" t="s">
        <v>112</v>
      </c>
      <c r="C43" s="91"/>
    </row>
    <row r="44" spans="1:66" x14ac:dyDescent="0.2">
      <c r="A44" s="10"/>
    </row>
    <row r="45" spans="1:66" x14ac:dyDescent="0.2">
      <c r="B45" s="453" t="s">
        <v>1</v>
      </c>
      <c r="C45" s="1278" t="s">
        <v>367</v>
      </c>
    </row>
    <row r="46" spans="1:66" x14ac:dyDescent="0.2">
      <c r="B46" s="453" t="s">
        <v>4</v>
      </c>
      <c r="C46" s="1278" t="s">
        <v>368</v>
      </c>
    </row>
    <row r="47" spans="1:66" x14ac:dyDescent="0.2">
      <c r="B47" s="453" t="s">
        <v>2</v>
      </c>
      <c r="C47" s="1278" t="s">
        <v>369</v>
      </c>
    </row>
    <row r="48" spans="1:66" x14ac:dyDescent="0.2">
      <c r="B48" s="453" t="s">
        <v>3</v>
      </c>
      <c r="C48" s="1278" t="s">
        <v>370</v>
      </c>
    </row>
    <row r="51" spans="1:1" x14ac:dyDescent="0.2">
      <c r="A51" s="8" t="s">
        <v>403</v>
      </c>
    </row>
  </sheetData>
  <phoneticPr fontId="5" type="noConversion"/>
  <printOptions horizontalCentered="1" verticalCentered="1"/>
  <pageMargins left="0.39370078740157483" right="0.39370078740157483" top="0.39370078740157483" bottom="0.39370078740157483" header="0.19685039370078741" footer="0.15748031496062992"/>
  <pageSetup paperSize="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A54"/>
  <sheetViews>
    <sheetView topLeftCell="B1" zoomScale="90" zoomScaleNormal="90" workbookViewId="0">
      <selection activeCell="B28" sqref="B28"/>
    </sheetView>
  </sheetViews>
  <sheetFormatPr defaultColWidth="9.140625" defaultRowHeight="12.75" x14ac:dyDescent="0.2"/>
  <cols>
    <col min="1" max="1" width="44.5703125" style="8" customWidth="1"/>
    <col min="2" max="2" width="10.140625" style="96" customWidth="1"/>
    <col min="3" max="3" width="4.140625" style="96" hidden="1" customWidth="1"/>
    <col min="4" max="4" width="9.5703125" style="96" customWidth="1"/>
    <col min="5" max="5" width="10" style="96" customWidth="1"/>
    <col min="6" max="6" width="8.5703125" style="96" customWidth="1"/>
    <col min="7" max="7" width="10" style="96" customWidth="1"/>
    <col min="8" max="9" width="9.5703125" style="96" customWidth="1"/>
    <col min="10" max="14" width="9" style="96" customWidth="1"/>
    <col min="15" max="15" width="8.42578125" style="96" customWidth="1"/>
    <col min="16" max="21" width="9" style="96" customWidth="1"/>
    <col min="22" max="22" width="8.85546875" style="96" customWidth="1"/>
    <col min="23" max="23" width="9" style="96" customWidth="1"/>
    <col min="24" max="53" width="9.140625" style="6"/>
    <col min="54" max="16384" width="9.140625" style="8"/>
  </cols>
  <sheetData>
    <row r="1" spans="1:53" s="59" customFormat="1" ht="18.75" customHeight="1" x14ac:dyDescent="0.25">
      <c r="A1" s="57" t="s">
        <v>263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98"/>
      <c r="P1" s="58"/>
      <c r="Q1" s="58"/>
      <c r="R1" s="58"/>
      <c r="S1" s="58"/>
      <c r="T1" s="58"/>
      <c r="U1" s="98"/>
      <c r="V1" s="98"/>
      <c r="W1" s="58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</row>
    <row r="2" spans="1:53" ht="9" customHeight="1" thickBot="1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</row>
    <row r="3" spans="1:53" ht="12.75" customHeight="1" x14ac:dyDescent="0.2">
      <c r="A3" s="358"/>
      <c r="B3" s="64"/>
      <c r="C3" s="64"/>
      <c r="D3" s="621"/>
      <c r="E3" s="1328" t="s">
        <v>23</v>
      </c>
      <c r="F3" s="1328"/>
      <c r="G3" s="1328"/>
      <c r="H3" s="621"/>
      <c r="I3" s="1000"/>
      <c r="J3" s="811"/>
      <c r="K3" s="811"/>
      <c r="L3" s="811"/>
      <c r="M3" s="811"/>
      <c r="N3" s="811"/>
      <c r="O3" s="856" t="s">
        <v>24</v>
      </c>
      <c r="P3" s="812"/>
      <c r="Q3" s="1000"/>
      <c r="R3" s="811"/>
      <c r="S3" s="811"/>
      <c r="T3" s="811"/>
      <c r="U3" s="811"/>
      <c r="V3" s="811"/>
      <c r="W3" s="866"/>
      <c r="X3" s="893"/>
    </row>
    <row r="4" spans="1:53" ht="84.6" customHeight="1" x14ac:dyDescent="0.2">
      <c r="A4" s="359"/>
      <c r="B4" s="83" t="s">
        <v>138</v>
      </c>
      <c r="C4" s="83" t="s">
        <v>347</v>
      </c>
      <c r="D4" s="108" t="s">
        <v>348</v>
      </c>
      <c r="E4" s="875" t="s">
        <v>169</v>
      </c>
      <c r="F4" s="876" t="s">
        <v>170</v>
      </c>
      <c r="G4" s="877" t="s">
        <v>171</v>
      </c>
      <c r="H4" s="108" t="s">
        <v>349</v>
      </c>
      <c r="I4" s="1007" t="s">
        <v>241</v>
      </c>
      <c r="J4" s="878" t="s">
        <v>158</v>
      </c>
      <c r="K4" s="879" t="s">
        <v>159</v>
      </c>
      <c r="L4" s="880" t="s">
        <v>161</v>
      </c>
      <c r="M4" s="878" t="s">
        <v>162</v>
      </c>
      <c r="N4" s="879" t="s">
        <v>163</v>
      </c>
      <c r="O4" s="890" t="s">
        <v>164</v>
      </c>
      <c r="P4" s="879" t="s">
        <v>160</v>
      </c>
      <c r="Q4" s="879" t="s">
        <v>242</v>
      </c>
      <c r="R4" s="879" t="s">
        <v>172</v>
      </c>
      <c r="S4" s="880" t="s">
        <v>165</v>
      </c>
      <c r="T4" s="882" t="s">
        <v>166</v>
      </c>
      <c r="U4" s="881" t="s">
        <v>167</v>
      </c>
      <c r="V4" s="883" t="s">
        <v>173</v>
      </c>
      <c r="W4" s="953" t="s">
        <v>168</v>
      </c>
      <c r="X4" s="893"/>
    </row>
    <row r="5" spans="1:53" ht="25.5" customHeight="1" x14ac:dyDescent="0.2">
      <c r="A5" s="346" t="s">
        <v>26</v>
      </c>
      <c r="B5" s="81" t="s">
        <v>5</v>
      </c>
      <c r="C5" s="81" t="s">
        <v>5</v>
      </c>
      <c r="D5" s="70" t="s">
        <v>5</v>
      </c>
      <c r="E5" s="69" t="s">
        <v>1</v>
      </c>
      <c r="F5" s="832" t="s">
        <v>4</v>
      </c>
      <c r="G5" s="721" t="s">
        <v>2</v>
      </c>
      <c r="H5" s="70" t="s">
        <v>5</v>
      </c>
      <c r="I5" s="1009" t="s">
        <v>3</v>
      </c>
      <c r="J5" s="69" t="s">
        <v>1</v>
      </c>
      <c r="K5" s="832" t="s">
        <v>1</v>
      </c>
      <c r="L5" s="68" t="s">
        <v>2</v>
      </c>
      <c r="M5" s="67" t="s">
        <v>1</v>
      </c>
      <c r="N5" s="832" t="s">
        <v>4</v>
      </c>
      <c r="O5" s="891" t="s">
        <v>1</v>
      </c>
      <c r="P5" s="832" t="s">
        <v>2</v>
      </c>
      <c r="Q5" s="832" t="s">
        <v>2</v>
      </c>
      <c r="R5" s="832" t="s">
        <v>4</v>
      </c>
      <c r="S5" s="68" t="s">
        <v>1</v>
      </c>
      <c r="T5" s="832" t="s">
        <v>1</v>
      </c>
      <c r="U5" s="67" t="s">
        <v>1</v>
      </c>
      <c r="V5" s="67" t="s">
        <v>2</v>
      </c>
      <c r="W5" s="832" t="s">
        <v>3</v>
      </c>
      <c r="X5" s="893"/>
    </row>
    <row r="6" spans="1:53" ht="19.5" customHeight="1" x14ac:dyDescent="0.2">
      <c r="A6" s="347" t="s">
        <v>11</v>
      </c>
      <c r="B6" s="147" t="s">
        <v>5</v>
      </c>
      <c r="C6" s="147" t="s">
        <v>5</v>
      </c>
      <c r="D6" s="225" t="s">
        <v>5</v>
      </c>
      <c r="E6" s="79">
        <v>142.95099999999999</v>
      </c>
      <c r="F6" s="224">
        <v>146.476</v>
      </c>
      <c r="G6" s="670">
        <v>147.07</v>
      </c>
      <c r="H6" s="225" t="s">
        <v>5</v>
      </c>
      <c r="I6" s="1002">
        <v>44329</v>
      </c>
      <c r="J6" s="79">
        <v>137.74700000000001</v>
      </c>
      <c r="K6" s="78">
        <v>140.66200000000001</v>
      </c>
      <c r="L6" s="78">
        <v>141.376</v>
      </c>
      <c r="M6" s="78">
        <v>141.49299999999999</v>
      </c>
      <c r="N6" s="78">
        <v>141.91200000000001</v>
      </c>
      <c r="O6" s="78">
        <v>142.12</v>
      </c>
      <c r="P6" s="78">
        <v>142.16899999999998</v>
      </c>
      <c r="Q6" s="78">
        <v>44338</v>
      </c>
      <c r="R6" s="78">
        <v>143.79633333333334</v>
      </c>
      <c r="S6" s="78">
        <v>144.16399999999999</v>
      </c>
      <c r="T6" s="78">
        <v>144.67500000000001</v>
      </c>
      <c r="U6" s="78">
        <v>145.53800000000001</v>
      </c>
      <c r="V6" s="78">
        <v>146.02733333333333</v>
      </c>
      <c r="W6" s="224">
        <v>147.41</v>
      </c>
      <c r="X6" s="893"/>
    </row>
    <row r="7" spans="1:53" s="185" customFormat="1" ht="17.25" customHeight="1" x14ac:dyDescent="0.2">
      <c r="A7" s="236" t="s">
        <v>373</v>
      </c>
      <c r="B7" s="226"/>
      <c r="C7" s="226"/>
      <c r="D7" s="228"/>
      <c r="E7" s="227"/>
      <c r="F7" s="720"/>
      <c r="G7" s="671"/>
      <c r="H7" s="228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473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</row>
    <row r="8" spans="1:53" s="184" customFormat="1" ht="17.25" customHeight="1" x14ac:dyDescent="0.2">
      <c r="A8" s="696" t="s">
        <v>311</v>
      </c>
      <c r="B8" s="371">
        <v>100</v>
      </c>
      <c r="C8" s="371">
        <v>105.3008</v>
      </c>
      <c r="D8" s="576">
        <v>105.14437081505584</v>
      </c>
      <c r="E8" s="306">
        <v>105.48347369506375</v>
      </c>
      <c r="F8" s="307">
        <v>104.80526793504788</v>
      </c>
      <c r="G8" s="672">
        <v>105.215663550925</v>
      </c>
      <c r="H8" s="576">
        <v>99.086087717489391</v>
      </c>
      <c r="I8" s="268">
        <v>105.24522416870433</v>
      </c>
      <c r="J8" s="306">
        <v>103.76433404874905</v>
      </c>
      <c r="K8" s="306">
        <v>101.56987770383881</v>
      </c>
      <c r="L8" s="306">
        <v>97.364184413414719</v>
      </c>
      <c r="M8" s="306">
        <v>98.320739445759926</v>
      </c>
      <c r="N8" s="306">
        <v>97.592843057503401</v>
      </c>
      <c r="O8" s="200">
        <v>96.61110130637185</v>
      </c>
      <c r="P8" s="306">
        <v>98.747031917832473</v>
      </c>
      <c r="Q8" s="306">
        <v>101.57541321124441</v>
      </c>
      <c r="R8" s="306">
        <v>102.92915689631749</v>
      </c>
      <c r="S8" s="306">
        <v>100.05968941608117</v>
      </c>
      <c r="T8" s="306">
        <v>97.123241202998912</v>
      </c>
      <c r="U8" s="200">
        <v>94.190784384135497</v>
      </c>
      <c r="V8" s="200">
        <v>97.069841731482967</v>
      </c>
      <c r="W8" s="268">
        <v>101.09807676189648</v>
      </c>
      <c r="X8" s="473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</row>
    <row r="9" spans="1:53" s="184" customFormat="1" ht="17.25" customHeight="1" x14ac:dyDescent="0.2">
      <c r="A9" s="691" t="s">
        <v>312</v>
      </c>
      <c r="B9" s="372">
        <v>100</v>
      </c>
      <c r="C9" s="372">
        <v>94.820220000000006</v>
      </c>
      <c r="D9" s="577">
        <v>94.569484924329203</v>
      </c>
      <c r="E9" s="109">
        <v>97.737044520523938</v>
      </c>
      <c r="F9" s="111">
        <v>91.401925328134453</v>
      </c>
      <c r="G9" s="722">
        <v>97.244242222135213</v>
      </c>
      <c r="H9" s="577">
        <v>100.37715924657934</v>
      </c>
      <c r="I9" s="111">
        <v>105.29975437549375</v>
      </c>
      <c r="J9" s="109">
        <v>100.37620812706858</v>
      </c>
      <c r="K9" s="109">
        <v>101.40934505554793</v>
      </c>
      <c r="L9" s="109">
        <v>100.79958870834932</v>
      </c>
      <c r="M9" s="109">
        <v>99.699737374377634</v>
      </c>
      <c r="N9" s="109">
        <v>101.22025501401374</v>
      </c>
      <c r="O9" s="110">
        <v>101.66068304367388</v>
      </c>
      <c r="P9" s="109">
        <v>102.40481951957553</v>
      </c>
      <c r="Q9" s="109">
        <v>103.3586772518409</v>
      </c>
      <c r="R9" s="109">
        <v>99.092460398778243</v>
      </c>
      <c r="S9" s="109">
        <v>100.6071935076687</v>
      </c>
      <c r="T9" s="109">
        <v>101.64038093155217</v>
      </c>
      <c r="U9" s="110">
        <v>98.509788371139351</v>
      </c>
      <c r="V9" s="110">
        <v>100.4784604700382</v>
      </c>
      <c r="W9" s="111">
        <v>105.18289672971756</v>
      </c>
      <c r="X9" s="473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</row>
    <row r="10" spans="1:53" s="184" customFormat="1" ht="17.25" customHeight="1" x14ac:dyDescent="0.2">
      <c r="A10" s="691" t="s">
        <v>313</v>
      </c>
      <c r="B10" s="372">
        <v>100</v>
      </c>
      <c r="C10" s="372">
        <v>97.018649999999994</v>
      </c>
      <c r="D10" s="577">
        <v>94.356477753712937</v>
      </c>
      <c r="E10" s="109">
        <v>96.370201480129836</v>
      </c>
      <c r="F10" s="308">
        <v>92.342754027296024</v>
      </c>
      <c r="G10" s="722">
        <v>85.822416665299173</v>
      </c>
      <c r="H10" s="577">
        <v>100.60496641997837</v>
      </c>
      <c r="I10" s="111">
        <v>106.05504214069033</v>
      </c>
      <c r="J10" s="109">
        <v>98.235115201947693</v>
      </c>
      <c r="K10" s="110">
        <v>101.49550794529331</v>
      </c>
      <c r="L10" s="110">
        <v>103.65861785138347</v>
      </c>
      <c r="M10" s="110">
        <v>101.71412323031157</v>
      </c>
      <c r="N10" s="110">
        <v>98.362166538962327</v>
      </c>
      <c r="O10" s="110">
        <v>100.04803176728464</v>
      </c>
      <c r="P10" s="110">
        <v>100.61384112772808</v>
      </c>
      <c r="Q10" s="110">
        <v>103.36060595912595</v>
      </c>
      <c r="R10" s="110">
        <v>101.32253275176457</v>
      </c>
      <c r="S10" s="110">
        <v>102.50651370972778</v>
      </c>
      <c r="T10" s="110">
        <v>102.11482240173805</v>
      </c>
      <c r="U10" s="110">
        <v>99.630506665305148</v>
      </c>
      <c r="V10" s="110">
        <v>103.41459344248706</v>
      </c>
      <c r="W10" s="308">
        <v>100.49564180466892</v>
      </c>
      <c r="X10" s="473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</row>
    <row r="11" spans="1:53" s="184" customFormat="1" ht="17.25" customHeight="1" x14ac:dyDescent="0.2">
      <c r="A11" s="691" t="s">
        <v>350</v>
      </c>
      <c r="B11" s="372">
        <v>100</v>
      </c>
      <c r="C11" s="373">
        <v>99.042437631578935</v>
      </c>
      <c r="D11" s="618">
        <v>98.193776246935215</v>
      </c>
      <c r="E11" s="109">
        <v>100.20423673037764</v>
      </c>
      <c r="F11" s="111">
        <v>96.183315763492786</v>
      </c>
      <c r="G11" s="722">
        <v>97.2687142004512</v>
      </c>
      <c r="H11" s="618">
        <v>100.08822125059687</v>
      </c>
      <c r="I11" s="1003">
        <v>105.53334022829614</v>
      </c>
      <c r="J11" s="109">
        <v>101.02226991120516</v>
      </c>
      <c r="K11" s="109">
        <v>101.48951635413162</v>
      </c>
      <c r="L11" s="109">
        <v>99.908082164608189</v>
      </c>
      <c r="M11" s="109">
        <v>99.91153335014971</v>
      </c>
      <c r="N11" s="109">
        <v>99.058421536826486</v>
      </c>
      <c r="O11" s="109">
        <v>99.511575619902501</v>
      </c>
      <c r="P11" s="109">
        <v>100.5885641883787</v>
      </c>
      <c r="Q11" s="109">
        <v>102.76489880740377</v>
      </c>
      <c r="R11" s="109">
        <v>101.17324701177164</v>
      </c>
      <c r="S11" s="109">
        <v>101.05779887782589</v>
      </c>
      <c r="T11" s="109">
        <v>100.39186402175568</v>
      </c>
      <c r="U11" s="109">
        <v>97.536633390366418</v>
      </c>
      <c r="V11" s="109">
        <v>99.615992802335612</v>
      </c>
      <c r="W11" s="111">
        <v>102.25887176542766</v>
      </c>
      <c r="X11" s="473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</row>
    <row r="12" spans="1:53" s="184" customFormat="1" ht="17.25" customHeight="1" x14ac:dyDescent="0.2">
      <c r="A12" s="692" t="s">
        <v>380</v>
      </c>
      <c r="B12" s="372">
        <v>100</v>
      </c>
      <c r="C12" s="372">
        <v>96.313938050000004</v>
      </c>
      <c r="D12" s="577">
        <v>94.753238892946882</v>
      </c>
      <c r="E12" s="109">
        <v>94.907934123621828</v>
      </c>
      <c r="F12" s="111">
        <v>94.598543662271922</v>
      </c>
      <c r="G12" s="722">
        <v>88.144284866125744</v>
      </c>
      <c r="H12" s="577">
        <v>100.84867764606304</v>
      </c>
      <c r="I12" s="111">
        <v>70.104780920795719</v>
      </c>
      <c r="J12" s="109">
        <v>92.749979362503296</v>
      </c>
      <c r="K12" s="109">
        <v>100.81601861636474</v>
      </c>
      <c r="L12" s="109">
        <v>96.807397603634072</v>
      </c>
      <c r="M12" s="109">
        <v>104.11562923151092</v>
      </c>
      <c r="N12" s="109">
        <v>90.652522827313618</v>
      </c>
      <c r="O12" s="109">
        <v>101.38117069550904</v>
      </c>
      <c r="P12" s="109">
        <v>91.520585077662062</v>
      </c>
      <c r="Q12" s="109">
        <v>97.930041656965699</v>
      </c>
      <c r="R12" s="109">
        <v>93.238174712772761</v>
      </c>
      <c r="S12" s="109">
        <v>112.69194917377935</v>
      </c>
      <c r="T12" s="109">
        <v>103.19295383849852</v>
      </c>
      <c r="U12" s="109">
        <v>93.337318796710846</v>
      </c>
      <c r="V12" s="109">
        <v>107.32056685467667</v>
      </c>
      <c r="W12" s="111">
        <v>82.055837017761746</v>
      </c>
      <c r="X12" s="473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</row>
    <row r="13" spans="1:53" s="184" customFormat="1" ht="33.6" customHeight="1" x14ac:dyDescent="0.2">
      <c r="A13" s="713" t="s">
        <v>358</v>
      </c>
      <c r="B13" s="201">
        <v>100</v>
      </c>
      <c r="C13" s="201">
        <v>98.840469999999996</v>
      </c>
      <c r="D13" s="564">
        <v>101.35383610266859</v>
      </c>
      <c r="E13" s="203">
        <v>101.33050036750426</v>
      </c>
      <c r="F13" s="206">
        <v>101.37717183783293</v>
      </c>
      <c r="G13" s="723">
        <v>102.35317672661937</v>
      </c>
      <c r="H13" s="564">
        <v>99.778249938749283</v>
      </c>
      <c r="I13" s="206">
        <v>101.6638764819953</v>
      </c>
      <c r="J13" s="203">
        <v>105.03820914619793</v>
      </c>
      <c r="K13" s="203">
        <v>100.05348417440486</v>
      </c>
      <c r="L13" s="203">
        <v>98.547940728207607</v>
      </c>
      <c r="M13" s="203">
        <v>98.88472775006899</v>
      </c>
      <c r="N13" s="203">
        <v>101.13081249267094</v>
      </c>
      <c r="O13" s="202">
        <v>96.782979813220408</v>
      </c>
      <c r="P13" s="203">
        <v>96.341496851360802</v>
      </c>
      <c r="Q13" s="203">
        <v>99.43122749458314</v>
      </c>
      <c r="R13" s="203">
        <v>100.37792463666013</v>
      </c>
      <c r="S13" s="203">
        <v>100.14979318286852</v>
      </c>
      <c r="T13" s="203">
        <v>97.797157939488613</v>
      </c>
      <c r="U13" s="202">
        <v>97.76030556573501</v>
      </c>
      <c r="V13" s="202">
        <v>99.190738476503086</v>
      </c>
      <c r="W13" s="206">
        <v>100.8980854864482</v>
      </c>
      <c r="X13" s="473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</row>
    <row r="14" spans="1:53" s="229" customFormat="1" ht="18" customHeight="1" x14ac:dyDescent="0.2">
      <c r="A14" s="1284" t="s">
        <v>395</v>
      </c>
      <c r="B14" s="226"/>
      <c r="C14" s="226"/>
      <c r="D14" s="228"/>
      <c r="E14" s="227"/>
      <c r="F14" s="227"/>
      <c r="G14" s="227"/>
      <c r="H14" s="228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473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</row>
    <row r="15" spans="1:53" s="184" customFormat="1" ht="17.25" customHeight="1" x14ac:dyDescent="0.2">
      <c r="A15" s="693" t="s">
        <v>314</v>
      </c>
      <c r="B15" s="374">
        <v>100</v>
      </c>
      <c r="C15" s="374">
        <v>119.3365</v>
      </c>
      <c r="D15" s="579">
        <v>114.42676267550564</v>
      </c>
      <c r="E15" s="578">
        <v>116.94212632231918</v>
      </c>
      <c r="F15" s="111">
        <v>111.91139902869212</v>
      </c>
      <c r="G15" s="741">
        <v>109.48713782232208</v>
      </c>
      <c r="H15" s="579">
        <v>97.176312279613455</v>
      </c>
      <c r="I15" s="954">
        <v>97.764079987766081</v>
      </c>
      <c r="J15" s="578">
        <v>101.01178217322651</v>
      </c>
      <c r="K15" s="578">
        <v>108.57791401794248</v>
      </c>
      <c r="L15" s="578">
        <v>81.694404539266102</v>
      </c>
      <c r="M15" s="578">
        <v>95.125226238658428</v>
      </c>
      <c r="N15" s="578">
        <v>79.451112720093136</v>
      </c>
      <c r="O15" s="561">
        <v>95.448253873727538</v>
      </c>
      <c r="P15" s="578">
        <v>110.02057555737821</v>
      </c>
      <c r="Q15" s="578">
        <v>92.653432842753887</v>
      </c>
      <c r="R15" s="578">
        <v>114.92427948973996</v>
      </c>
      <c r="S15" s="578">
        <v>101.04179983695613</v>
      </c>
      <c r="T15" s="578">
        <v>96.329408763384521</v>
      </c>
      <c r="U15" s="561">
        <v>81.85289753716971</v>
      </c>
      <c r="V15" s="561">
        <v>100.56454317684212</v>
      </c>
      <c r="W15" s="954">
        <v>99.305763839187321</v>
      </c>
      <c r="X15" s="473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</row>
    <row r="16" spans="1:53" s="184" customFormat="1" ht="18" customHeight="1" x14ac:dyDescent="0.2">
      <c r="A16" s="348" t="s">
        <v>14</v>
      </c>
      <c r="B16" s="240"/>
      <c r="C16" s="240"/>
      <c r="D16" s="742"/>
      <c r="E16" s="566"/>
      <c r="F16" s="110"/>
      <c r="G16" s="566"/>
      <c r="H16" s="742"/>
      <c r="I16" s="1004"/>
      <c r="J16" s="578"/>
      <c r="K16" s="578"/>
      <c r="L16" s="578"/>
      <c r="M16" s="578"/>
      <c r="N16" s="578"/>
      <c r="O16" s="561"/>
      <c r="P16" s="578"/>
      <c r="Q16" s="578"/>
      <c r="R16" s="578"/>
      <c r="S16" s="578"/>
      <c r="T16" s="578"/>
      <c r="U16" s="561"/>
      <c r="V16" s="561"/>
      <c r="W16" s="566"/>
      <c r="X16" s="473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</row>
    <row r="17" spans="1:53" s="184" customFormat="1" ht="17.25" customHeight="1" x14ac:dyDescent="0.2">
      <c r="A17" s="694" t="s">
        <v>315</v>
      </c>
      <c r="B17" s="371">
        <v>100</v>
      </c>
      <c r="C17" s="371">
        <v>92.282330000000002</v>
      </c>
      <c r="D17" s="576">
        <v>95.549350864612819</v>
      </c>
      <c r="E17" s="306">
        <v>96.510522996737535</v>
      </c>
      <c r="F17" s="111">
        <v>94.588178732488075</v>
      </c>
      <c r="G17" s="672">
        <v>97.472790543459652</v>
      </c>
      <c r="H17" s="576">
        <v>100.58157950054377</v>
      </c>
      <c r="I17" s="954">
        <v>98.27712010824888</v>
      </c>
      <c r="J17" s="578">
        <v>99.322752542553701</v>
      </c>
      <c r="K17" s="578">
        <v>101.62795501600631</v>
      </c>
      <c r="L17" s="578">
        <v>101.94869270383714</v>
      </c>
      <c r="M17" s="578">
        <v>101.22716974157738</v>
      </c>
      <c r="N17" s="578">
        <v>107.85797288919606</v>
      </c>
      <c r="O17" s="561">
        <v>99.867066832843406</v>
      </c>
      <c r="P17" s="578">
        <v>96.230307793129313</v>
      </c>
      <c r="Q17" s="578">
        <v>98.392205050030299</v>
      </c>
      <c r="R17" s="578">
        <v>93.900678475039598</v>
      </c>
      <c r="S17" s="578">
        <v>100.94198886885366</v>
      </c>
      <c r="T17" s="578">
        <v>98.830104898931438</v>
      </c>
      <c r="U17" s="561">
        <v>100.50254400142808</v>
      </c>
      <c r="V17" s="561">
        <v>99.184152254522957</v>
      </c>
      <c r="W17" s="268">
        <v>98.111696406599222</v>
      </c>
      <c r="X17" s="473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</row>
    <row r="18" spans="1:53" s="377" customFormat="1" ht="17.25" customHeight="1" x14ac:dyDescent="0.2">
      <c r="A18" s="872" t="s">
        <v>223</v>
      </c>
      <c r="B18" s="375">
        <f>65+6.72952293759273</f>
        <v>71.729522937592733</v>
      </c>
      <c r="C18" s="375">
        <v>6.9647459999999999</v>
      </c>
      <c r="D18" s="580">
        <f>65+7.13153837232221</f>
        <v>72.131538372322211</v>
      </c>
      <c r="E18" s="570">
        <f>65+6.59811801741645</f>
        <v>71.598118017416454</v>
      </c>
      <c r="F18" s="316">
        <f>65+7.66495872722797</f>
        <v>72.664958727227969</v>
      </c>
      <c r="G18" s="309">
        <f>65+7.29386293147948</f>
        <v>72.293862931479481</v>
      </c>
      <c r="H18" s="580">
        <f>65+6.75142375762211</f>
        <v>71.751423757622106</v>
      </c>
      <c r="I18" s="972">
        <f>65+5.93401098603393</f>
        <v>70.934010986033925</v>
      </c>
      <c r="J18" s="387">
        <f>65+8.17153094518518</f>
        <v>73.171530945185182</v>
      </c>
      <c r="K18" s="387">
        <f>65+6.28615462180032</f>
        <v>71.286154621800321</v>
      </c>
      <c r="L18" s="387">
        <f>65+6.64182534059235</f>
        <v>71.641825340592348</v>
      </c>
      <c r="M18" s="387">
        <f>65+6.76041327268251</f>
        <v>71.760413272682513</v>
      </c>
      <c r="N18" s="387">
        <f>65+6.23859509086432</f>
        <v>71.238595090864322</v>
      </c>
      <c r="O18" s="595">
        <f>65+5.94734856390787</f>
        <v>70.947348563907866</v>
      </c>
      <c r="P18" s="387">
        <f>65+7.64141738492233</f>
        <v>72.641417384922335</v>
      </c>
      <c r="Q18" s="387">
        <f>65+7.3356776527006</f>
        <v>72.335677652700596</v>
      </c>
      <c r="R18" s="387">
        <f>65+7.30293954510435</f>
        <v>72.302939545104351</v>
      </c>
      <c r="S18" s="387">
        <f>65+6.22086368765615</f>
        <v>71.220863687656148</v>
      </c>
      <c r="T18" s="387">
        <f>65+7.29432425937364</f>
        <v>72.294324259373639</v>
      </c>
      <c r="U18" s="595">
        <f>65+7.12223145450068</f>
        <v>72.122231454500678</v>
      </c>
      <c r="V18" s="595">
        <f>65+7.03099200725903</f>
        <v>72.03099200725903</v>
      </c>
      <c r="W18" s="316">
        <f>65+7.78808405158902</f>
        <v>72.788084051589024</v>
      </c>
      <c r="X18" s="542"/>
      <c r="Y18" s="376"/>
      <c r="Z18" s="376"/>
      <c r="AA18" s="376"/>
      <c r="AB18" s="376"/>
      <c r="AC18" s="376"/>
      <c r="AD18" s="376"/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  <c r="AS18" s="376"/>
      <c r="AT18" s="376"/>
      <c r="AU18" s="376"/>
      <c r="AV18" s="376"/>
      <c r="AW18" s="376"/>
      <c r="AX18" s="376"/>
      <c r="AY18" s="376"/>
      <c r="AZ18" s="376"/>
      <c r="BA18" s="376"/>
    </row>
    <row r="19" spans="1:53" s="184" customFormat="1" ht="17.25" customHeight="1" x14ac:dyDescent="0.2">
      <c r="A19" s="695" t="s">
        <v>316</v>
      </c>
      <c r="B19" s="372">
        <v>100</v>
      </c>
      <c r="C19" s="372">
        <v>111.9648</v>
      </c>
      <c r="D19" s="577">
        <v>116.05827866941985</v>
      </c>
      <c r="E19" s="109">
        <v>117.44700831739689</v>
      </c>
      <c r="F19" s="111">
        <v>114.66954902144279</v>
      </c>
      <c r="G19" s="722">
        <v>116.56842916539055</v>
      </c>
      <c r="H19" s="577">
        <v>97.092165280433861</v>
      </c>
      <c r="I19" s="954">
        <v>111.75582326833477</v>
      </c>
      <c r="J19" s="578">
        <v>110.23937428803877</v>
      </c>
      <c r="K19" s="109">
        <v>96.667302788956718</v>
      </c>
      <c r="L19" s="109">
        <v>89.23361901502129</v>
      </c>
      <c r="M19" s="109">
        <v>94.211499312012364</v>
      </c>
      <c r="N19" s="109">
        <v>90.486113716776558</v>
      </c>
      <c r="O19" s="110">
        <v>91.464983345800562</v>
      </c>
      <c r="P19" s="109">
        <v>94.092896756613911</v>
      </c>
      <c r="Q19" s="109">
        <v>98.394382168342517</v>
      </c>
      <c r="R19" s="109">
        <v>116.87898944481475</v>
      </c>
      <c r="S19" s="109">
        <v>99.28214912775573</v>
      </c>
      <c r="T19" s="109">
        <v>94.354755595926932</v>
      </c>
      <c r="U19" s="110">
        <v>90.687682820039015</v>
      </c>
      <c r="V19" s="110">
        <v>100.60486878822361</v>
      </c>
      <c r="W19" s="111">
        <v>106.99129557923219</v>
      </c>
      <c r="X19" s="473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</row>
    <row r="20" spans="1:53" s="377" customFormat="1" ht="17.25" customHeight="1" x14ac:dyDescent="0.2">
      <c r="A20" s="873" t="s">
        <v>224</v>
      </c>
      <c r="B20" s="375">
        <f>65+4.55492281416164</f>
        <v>69.554922814161642</v>
      </c>
      <c r="C20" s="375">
        <v>4.1663209999999999</v>
      </c>
      <c r="D20" s="580">
        <f>65+1.3932127168938</f>
        <v>66.3932127168938</v>
      </c>
      <c r="E20" s="570">
        <f>65+0.705470270132665</f>
        <v>65.705470270132665</v>
      </c>
      <c r="F20" s="316">
        <f>65+2.08095516365495</f>
        <v>67.080955163654949</v>
      </c>
      <c r="G20" s="309">
        <f>65+0.495859955091134</f>
        <v>65.495859955091134</v>
      </c>
      <c r="H20" s="580">
        <f>65+5.19649823816647</f>
        <v>70.19649823816647</v>
      </c>
      <c r="I20" s="316">
        <f>65+3.24468214255396</f>
        <v>68.244682142553955</v>
      </c>
      <c r="J20" s="570">
        <f>65+5.4646302369808</f>
        <v>70.464630236980796</v>
      </c>
      <c r="K20" s="570">
        <f>65+4.77804330165399</f>
        <v>69.778043301653994</v>
      </c>
      <c r="L20" s="570">
        <f>65+6.94427614792991</f>
        <v>71.944276147929912</v>
      </c>
      <c r="M20" s="570">
        <f>65+4.92895516365495</f>
        <v>69.928955163654948</v>
      </c>
      <c r="N20" s="570">
        <f>65+5.05295516365496</f>
        <v>70.052955163654957</v>
      </c>
      <c r="O20" s="315">
        <f>65+5.51695516365494</f>
        <v>70.516955163654941</v>
      </c>
      <c r="P20" s="570">
        <f>65+3.72940459509242</f>
        <v>68.729404595092419</v>
      </c>
      <c r="Q20" s="570">
        <f>65+5.25301547588728</f>
        <v>70.253015475887281</v>
      </c>
      <c r="R20" s="570">
        <f>65+1.07197571067483</f>
        <v>66.071975710674835</v>
      </c>
      <c r="S20" s="570">
        <f>65+4.9504503993992</f>
        <v>69.950450399399202</v>
      </c>
      <c r="T20" s="570">
        <f>65+5.15712383012779</f>
        <v>70.157123830127787</v>
      </c>
      <c r="U20" s="315">
        <f>65+5.53995516365492</f>
        <v>70.539955163654923</v>
      </c>
      <c r="V20" s="315">
        <f>65+2.69594281459659</f>
        <v>67.695942814596592</v>
      </c>
      <c r="W20" s="316">
        <f>65+2.62273792842575</f>
        <v>67.622737928425749</v>
      </c>
      <c r="X20" s="542"/>
      <c r="Y20" s="376"/>
      <c r="Z20" s="376"/>
      <c r="AA20" s="376"/>
      <c r="AB20" s="376"/>
      <c r="AC20" s="376"/>
      <c r="AD20" s="376"/>
      <c r="AE20" s="376"/>
      <c r="AF20" s="376"/>
      <c r="AG20" s="376"/>
      <c r="AH20" s="376"/>
      <c r="AI20" s="376"/>
      <c r="AJ20" s="376"/>
      <c r="AK20" s="376"/>
      <c r="AL20" s="376"/>
      <c r="AM20" s="376"/>
      <c r="AN20" s="376"/>
      <c r="AO20" s="376"/>
      <c r="AP20" s="376"/>
      <c r="AQ20" s="376"/>
      <c r="AR20" s="376"/>
      <c r="AS20" s="376"/>
      <c r="AT20" s="376"/>
      <c r="AU20" s="376"/>
      <c r="AV20" s="376"/>
      <c r="AW20" s="376"/>
      <c r="AX20" s="376"/>
      <c r="AY20" s="376"/>
      <c r="AZ20" s="376"/>
      <c r="BA20" s="376"/>
    </row>
    <row r="21" spans="1:53" s="184" customFormat="1" ht="17.25" customHeight="1" x14ac:dyDescent="0.2">
      <c r="A21" s="732" t="s">
        <v>317</v>
      </c>
      <c r="B21" s="201">
        <v>100</v>
      </c>
      <c r="C21" s="201">
        <v>110.9971</v>
      </c>
      <c r="D21" s="564">
        <v>106.85822152834041</v>
      </c>
      <c r="E21" s="203">
        <v>105.34794131260035</v>
      </c>
      <c r="F21" s="206">
        <v>108.36850174408046</v>
      </c>
      <c r="G21" s="723">
        <v>105.76413764996903</v>
      </c>
      <c r="H21" s="564">
        <v>99.108676447899938</v>
      </c>
      <c r="I21" s="206">
        <v>110.62685741557293</v>
      </c>
      <c r="J21" s="203">
        <v>105.425182033449</v>
      </c>
      <c r="K21" s="203">
        <v>102.87339245394791</v>
      </c>
      <c r="L21" s="203">
        <v>100.87983059252518</v>
      </c>
      <c r="M21" s="203">
        <v>98.364920853706806</v>
      </c>
      <c r="N21" s="203">
        <v>94.829019260128902</v>
      </c>
      <c r="O21" s="202">
        <v>96.418916420826974</v>
      </c>
      <c r="P21" s="203">
        <v>101.55395275701386</v>
      </c>
      <c r="Q21" s="203">
        <v>109.1202494291971</v>
      </c>
      <c r="R21" s="203">
        <v>101.64790232036786</v>
      </c>
      <c r="S21" s="203">
        <v>99.414764297668981</v>
      </c>
      <c r="T21" s="203">
        <v>97.147298108296582</v>
      </c>
      <c r="U21" s="202">
        <v>92.154882627799921</v>
      </c>
      <c r="V21" s="202">
        <v>91.848326501223482</v>
      </c>
      <c r="W21" s="206">
        <v>101.1983389800495</v>
      </c>
      <c r="X21" s="473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</row>
    <row r="22" spans="1:53" s="230" customFormat="1" ht="18" customHeight="1" x14ac:dyDescent="0.2">
      <c r="A22" s="360" t="s">
        <v>15</v>
      </c>
      <c r="B22" s="226"/>
      <c r="C22" s="226"/>
      <c r="D22" s="228"/>
      <c r="E22" s="227"/>
      <c r="F22" s="227"/>
      <c r="G22" s="227"/>
      <c r="H22" s="228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473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</row>
    <row r="23" spans="1:53" s="182" customFormat="1" ht="17.25" customHeight="1" x14ac:dyDescent="0.2">
      <c r="A23" s="378" t="s">
        <v>285</v>
      </c>
      <c r="B23" s="371">
        <v>59.076737363232333</v>
      </c>
      <c r="C23" s="371"/>
      <c r="D23" s="576">
        <v>54.477640483034428</v>
      </c>
      <c r="E23" s="306">
        <v>57.525423034279683</v>
      </c>
      <c r="F23" s="307">
        <v>51.429857931789172</v>
      </c>
      <c r="G23" s="869">
        <v>56.527476676669806</v>
      </c>
      <c r="H23" s="576">
        <v>59.335289751391109</v>
      </c>
      <c r="I23" s="268">
        <v>52.863490701982563</v>
      </c>
      <c r="J23" s="306">
        <v>58.499516077010917</v>
      </c>
      <c r="K23" s="200">
        <v>59.05939179840373</v>
      </c>
      <c r="L23" s="200">
        <v>61.659820805692554</v>
      </c>
      <c r="M23" s="200">
        <v>59.480130659061892</v>
      </c>
      <c r="N23" s="200">
        <v>63.287585204516418</v>
      </c>
      <c r="O23" s="200">
        <v>59.241845185116809</v>
      </c>
      <c r="P23" s="200">
        <v>61.503374484474861</v>
      </c>
      <c r="Q23" s="200">
        <v>63.464990701982558</v>
      </c>
      <c r="R23" s="200">
        <v>52.659364990745779</v>
      </c>
      <c r="S23" s="200">
        <v>57.255013998186627</v>
      </c>
      <c r="T23" s="200">
        <v>58.152767022698235</v>
      </c>
      <c r="U23" s="200">
        <v>62.475840790566686</v>
      </c>
      <c r="V23" s="200">
        <v>56.911709694581454</v>
      </c>
      <c r="W23" s="307">
        <v>55.41304115114152</v>
      </c>
      <c r="X23" s="473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30"/>
    </row>
    <row r="24" spans="1:53" s="184" customFormat="1" ht="17.25" customHeight="1" x14ac:dyDescent="0.2">
      <c r="A24" s="378" t="s">
        <v>286</v>
      </c>
      <c r="B24" s="372">
        <v>55.138864435894256</v>
      </c>
      <c r="C24" s="372"/>
      <c r="D24" s="577">
        <v>45.03022338650058</v>
      </c>
      <c r="E24" s="109">
        <v>45.422885699702654</v>
      </c>
      <c r="F24" s="111">
        <v>44.637561073298514</v>
      </c>
      <c r="G24" s="722">
        <v>44.82135761565889</v>
      </c>
      <c r="H24" s="577">
        <v>56.75819422525953</v>
      </c>
      <c r="I24" s="111">
        <v>47.497449254125378</v>
      </c>
      <c r="J24" s="109">
        <v>56.006182672783439</v>
      </c>
      <c r="K24" s="109">
        <v>53.513439866575879</v>
      </c>
      <c r="L24" s="109">
        <v>58.139472237046846</v>
      </c>
      <c r="M24" s="109">
        <v>56.793651982389406</v>
      </c>
      <c r="N24" s="109">
        <v>60.192097946483756</v>
      </c>
      <c r="O24" s="110">
        <v>56.488798005514703</v>
      </c>
      <c r="P24" s="109">
        <v>60.484032539328823</v>
      </c>
      <c r="Q24" s="109">
        <v>62.164949254125389</v>
      </c>
      <c r="R24" s="109">
        <v>49.448377635088939</v>
      </c>
      <c r="S24" s="109">
        <v>53.145670885521092</v>
      </c>
      <c r="T24" s="109">
        <v>58.974833800571247</v>
      </c>
      <c r="U24" s="110">
        <v>64.601421938772646</v>
      </c>
      <c r="V24" s="110">
        <v>53.584972237046827</v>
      </c>
      <c r="W24" s="111">
        <v>55.750074776409889</v>
      </c>
      <c r="X24" s="473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</row>
    <row r="25" spans="1:53" s="184" customFormat="1" ht="17.25" customHeight="1" x14ac:dyDescent="0.2">
      <c r="A25" s="1282" t="s">
        <v>290</v>
      </c>
      <c r="B25" s="201">
        <v>4.2311513872820488</v>
      </c>
      <c r="C25" s="201"/>
      <c r="D25" s="564">
        <v>3.5827695318496797</v>
      </c>
      <c r="E25" s="203">
        <v>3.7556220632216855</v>
      </c>
      <c r="F25" s="206">
        <v>3.409917000477674</v>
      </c>
      <c r="G25" s="601">
        <v>3.7210958814360291</v>
      </c>
      <c r="H25" s="564">
        <v>4.3104062746254428</v>
      </c>
      <c r="I25" s="206">
        <v>3.6020520630358304</v>
      </c>
      <c r="J25" s="203">
        <v>4.2451733526750415</v>
      </c>
      <c r="K25" s="203">
        <v>4.1584614709658094</v>
      </c>
      <c r="L25" s="203">
        <v>4.5034254833519665</v>
      </c>
      <c r="M25" s="203">
        <v>4.3141517732049453</v>
      </c>
      <c r="N25" s="203">
        <v>4.6366158210072568</v>
      </c>
      <c r="O25" s="202">
        <v>4.2957128952230068</v>
      </c>
      <c r="P25" s="203">
        <v>4.5739833326829675</v>
      </c>
      <c r="Q25" s="203">
        <v>4.73283981303583</v>
      </c>
      <c r="R25" s="203">
        <v>3.6802214825061039</v>
      </c>
      <c r="S25" s="203">
        <v>4.0513306485459202</v>
      </c>
      <c r="T25" s="203">
        <v>4.3523601368413098</v>
      </c>
      <c r="U25" s="202">
        <v>4.7976075071379345</v>
      </c>
      <c r="V25" s="202">
        <v>4.0854008166853006</v>
      </c>
      <c r="W25" s="206">
        <v>4.0840783236914922</v>
      </c>
      <c r="X25" s="473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</row>
    <row r="26" spans="1:53" s="182" customFormat="1" ht="17.25" customHeight="1" x14ac:dyDescent="0.2">
      <c r="A26" s="1285" t="s">
        <v>378</v>
      </c>
      <c r="B26" s="381">
        <v>7.4206818824243577</v>
      </c>
      <c r="C26" s="381"/>
      <c r="D26" s="582">
        <v>7.4767723003623203</v>
      </c>
      <c r="E26" s="340">
        <v>7.655448735868565</v>
      </c>
      <c r="F26" s="581">
        <v>7.2980958648560765</v>
      </c>
      <c r="G26" s="1214">
        <v>7.5915018267461347</v>
      </c>
      <c r="H26" s="582">
        <v>7.3815540735169893</v>
      </c>
      <c r="I26" s="581" t="s">
        <v>262</v>
      </c>
      <c r="J26" s="340">
        <v>7.2634230212505582</v>
      </c>
      <c r="K26" s="340">
        <v>7.4416319344895161</v>
      </c>
      <c r="L26" s="340">
        <v>7.4726458313865614</v>
      </c>
      <c r="M26" s="340">
        <v>7.4150920981837034</v>
      </c>
      <c r="N26" s="340">
        <v>7.4058745880174541</v>
      </c>
      <c r="O26" s="342">
        <v>7.4310363877584917</v>
      </c>
      <c r="P26" s="340">
        <v>7.8250458737740205</v>
      </c>
      <c r="Q26" s="340" t="s">
        <v>135</v>
      </c>
      <c r="R26" s="340">
        <v>7.4758752394903212</v>
      </c>
      <c r="S26" s="340">
        <v>7.4402495012483607</v>
      </c>
      <c r="T26" s="340">
        <v>7.3630157939815044</v>
      </c>
      <c r="U26" s="342">
        <v>7.2978914981713032</v>
      </c>
      <c r="V26" s="342">
        <v>7.4726458313865614</v>
      </c>
      <c r="W26" s="581">
        <v>7.3667125422816842</v>
      </c>
      <c r="X26" s="473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</row>
    <row r="27" spans="1:53" s="190" customFormat="1" ht="17.25" customHeight="1" x14ac:dyDescent="0.2">
      <c r="A27" s="350" t="s">
        <v>16</v>
      </c>
      <c r="B27" s="1215"/>
      <c r="C27" s="1215"/>
      <c r="D27" s="1216"/>
      <c r="E27" s="1217"/>
      <c r="F27" s="565"/>
      <c r="G27" s="1218"/>
      <c r="H27" s="1216"/>
      <c r="I27" s="565"/>
      <c r="J27" s="1217"/>
      <c r="K27" s="1217"/>
      <c r="L27" s="1225"/>
      <c r="M27" s="1217"/>
      <c r="N27" s="1217"/>
      <c r="O27" s="1226"/>
      <c r="P27" s="1217"/>
      <c r="Q27" s="1217"/>
      <c r="R27" s="1217"/>
      <c r="S27" s="1217"/>
      <c r="T27" s="1217"/>
      <c r="U27" s="1226"/>
      <c r="V27" s="1227"/>
      <c r="W27" s="1228"/>
      <c r="X27" s="473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</row>
    <row r="28" spans="1:53" s="234" customFormat="1" ht="18" customHeight="1" x14ac:dyDescent="0.2">
      <c r="A28" s="382" t="s">
        <v>374</v>
      </c>
      <c r="B28" s="1213">
        <v>6.5857142857142863</v>
      </c>
      <c r="C28" s="231"/>
      <c r="D28" s="1219">
        <v>3.75</v>
      </c>
      <c r="E28" s="1220">
        <v>3.85</v>
      </c>
      <c r="F28" s="1224">
        <v>3.65</v>
      </c>
      <c r="G28" s="1221" t="s">
        <v>123</v>
      </c>
      <c r="H28" s="1219">
        <v>7.041666666666667</v>
      </c>
      <c r="I28" s="1220" t="s">
        <v>5</v>
      </c>
      <c r="J28" s="1224">
        <v>5.7</v>
      </c>
      <c r="K28" s="1224">
        <v>6.75</v>
      </c>
      <c r="L28" s="1224">
        <v>7.75</v>
      </c>
      <c r="M28" s="1224">
        <v>6.75</v>
      </c>
      <c r="N28" s="1224">
        <v>6.7</v>
      </c>
      <c r="O28" s="1224">
        <v>7.55</v>
      </c>
      <c r="P28" s="1224" t="s">
        <v>5</v>
      </c>
      <c r="Q28" s="1224" t="s">
        <v>5</v>
      </c>
      <c r="R28" s="1224">
        <v>6.6</v>
      </c>
      <c r="S28" s="1224">
        <v>7.85</v>
      </c>
      <c r="T28" s="1224">
        <v>7.5</v>
      </c>
      <c r="U28" s="1224">
        <v>7.65</v>
      </c>
      <c r="V28" s="1224">
        <v>7.1</v>
      </c>
      <c r="W28" s="1220" t="s">
        <v>5</v>
      </c>
      <c r="X28" s="959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  <c r="AN28" s="233"/>
      <c r="AO28" s="233"/>
      <c r="AP28" s="233"/>
      <c r="AQ28" s="233"/>
      <c r="AR28" s="233"/>
      <c r="AS28" s="233"/>
      <c r="AT28" s="233"/>
      <c r="AU28" s="233"/>
      <c r="AV28" s="233"/>
      <c r="AW28" s="233"/>
      <c r="AX28" s="233"/>
      <c r="AY28" s="233"/>
      <c r="AZ28" s="233"/>
      <c r="BA28" s="233"/>
    </row>
    <row r="29" spans="1:53" s="385" customFormat="1" ht="17.25" customHeight="1" x14ac:dyDescent="0.2">
      <c r="A29" s="386" t="s">
        <v>375</v>
      </c>
      <c r="B29" s="383">
        <v>6.2070211458404199</v>
      </c>
      <c r="C29" s="383"/>
      <c r="D29" s="1222">
        <v>5.8173425145485123</v>
      </c>
      <c r="E29" s="338">
        <v>4.4019569380006889</v>
      </c>
      <c r="F29" s="724">
        <v>7.2327280910963356</v>
      </c>
      <c r="G29" s="1223">
        <v>5.6041201434679699</v>
      </c>
      <c r="H29" s="1231">
        <v>6.5078651804803753</v>
      </c>
      <c r="I29" s="1233">
        <v>8.1510300358669934</v>
      </c>
      <c r="J29" s="338">
        <v>6.2272757079002607</v>
      </c>
      <c r="K29" s="337">
        <v>7.1660152672391195</v>
      </c>
      <c r="L29" s="337">
        <v>6.9790472543871793</v>
      </c>
      <c r="M29" s="337">
        <v>6.4530901076009775</v>
      </c>
      <c r="N29" s="337">
        <v>6.5987503253514017</v>
      </c>
      <c r="O29" s="315">
        <v>6.5007000980274494</v>
      </c>
      <c r="P29" s="698">
        <v>8.3068189269750654</v>
      </c>
      <c r="Q29" s="1229">
        <v>5.9389952629896179</v>
      </c>
      <c r="R29" s="570">
        <v>6.7009784690003444</v>
      </c>
      <c r="S29" s="570">
        <v>7.1660152672391195</v>
      </c>
      <c r="T29" s="337">
        <v>6.0185154704409412</v>
      </c>
      <c r="U29" s="315">
        <v>5.5340946348753253</v>
      </c>
      <c r="V29" s="315">
        <v>6.0590817760434073</v>
      </c>
      <c r="W29" s="1230">
        <v>6.8079689783217026</v>
      </c>
      <c r="X29" s="960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</row>
    <row r="30" spans="1:53" s="385" customFormat="1" ht="17.25" customHeight="1" x14ac:dyDescent="0.2">
      <c r="A30" s="351" t="s">
        <v>376</v>
      </c>
      <c r="B30" s="383">
        <v>6.5323187977226693</v>
      </c>
      <c r="C30" s="332"/>
      <c r="D30" s="580">
        <v>4.5342057953433592</v>
      </c>
      <c r="E30" s="338">
        <v>5.2815555940689389</v>
      </c>
      <c r="F30" s="724">
        <v>3.7868559966177795</v>
      </c>
      <c r="G30" s="727">
        <v>7.9082271298479707</v>
      </c>
      <c r="H30" s="1232">
        <v>6.7407793316649576</v>
      </c>
      <c r="I30" s="1234" t="s">
        <v>5</v>
      </c>
      <c r="J30" s="338">
        <v>3.497638034443753</v>
      </c>
      <c r="K30" s="337">
        <v>7.4559999999999995</v>
      </c>
      <c r="L30" s="337">
        <v>7.5352329878100068</v>
      </c>
      <c r="M30" s="337">
        <v>7.1731145629788386</v>
      </c>
      <c r="N30" s="337">
        <v>7.3086327424240469</v>
      </c>
      <c r="O30" s="337">
        <v>6.7098779071848593</v>
      </c>
      <c r="P30" s="337" t="s">
        <v>5</v>
      </c>
      <c r="Q30" s="384" t="s">
        <v>5</v>
      </c>
      <c r="R30" s="384">
        <v>6.6584080628768811</v>
      </c>
      <c r="S30" s="384">
        <v>6.6080454853822985</v>
      </c>
      <c r="T30" s="337">
        <v>5.7246813895439121</v>
      </c>
      <c r="U30" s="337">
        <v>9</v>
      </c>
      <c r="V30" s="337">
        <v>7.4559999999999995</v>
      </c>
      <c r="W30" s="955" t="s">
        <v>5</v>
      </c>
      <c r="X30" s="960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</row>
    <row r="31" spans="1:53" s="388" customFormat="1" ht="17.25" customHeight="1" x14ac:dyDescent="0.2">
      <c r="A31" s="390" t="s">
        <v>377</v>
      </c>
      <c r="B31" s="383">
        <v>6.1387078997058859</v>
      </c>
      <c r="C31" s="334"/>
      <c r="D31" s="580">
        <v>4.7987993596733762</v>
      </c>
      <c r="E31" s="341">
        <v>5.8849269671482816</v>
      </c>
      <c r="F31" s="725">
        <v>3.71267175219847</v>
      </c>
      <c r="G31" s="312">
        <v>6.3672827724953063</v>
      </c>
      <c r="H31" s="1232">
        <v>6.1810047217988204</v>
      </c>
      <c r="I31" s="1234">
        <v>3.1722319881450325</v>
      </c>
      <c r="J31" s="341">
        <v>3.4985238344604275</v>
      </c>
      <c r="K31" s="341">
        <v>6.0369745191780755</v>
      </c>
      <c r="L31" s="700">
        <v>6.1160027739264375</v>
      </c>
      <c r="M31" s="341">
        <v>7.1383877954847845</v>
      </c>
      <c r="N31" s="341">
        <v>4.1693644310505062</v>
      </c>
      <c r="O31" s="342">
        <v>7.018162468818395</v>
      </c>
      <c r="P31" s="700">
        <v>6.2387828770630875</v>
      </c>
      <c r="Q31" s="1008">
        <v>6.9048245896822866</v>
      </c>
      <c r="R31" s="387">
        <v>5.6011766742003193</v>
      </c>
      <c r="S31" s="387">
        <v>6.5966689782720316</v>
      </c>
      <c r="T31" s="341">
        <v>6.3672827724953063</v>
      </c>
      <c r="U31" s="342">
        <v>6.797310734579205</v>
      </c>
      <c r="V31" s="699">
        <v>7.8226130627529447</v>
      </c>
      <c r="W31" s="956">
        <v>2.6413837983410255</v>
      </c>
      <c r="X31" s="960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</row>
    <row r="32" spans="1:53" s="385" customFormat="1" ht="17.25" customHeight="1" x14ac:dyDescent="0.2">
      <c r="A32" s="361"/>
      <c r="B32" s="383"/>
      <c r="C32" s="334"/>
      <c r="D32" s="582"/>
      <c r="E32" s="340"/>
      <c r="F32" s="726"/>
      <c r="G32" s="728"/>
      <c r="H32" s="582"/>
      <c r="I32" s="581"/>
      <c r="J32" s="341"/>
      <c r="K32" s="341"/>
      <c r="L32" s="341"/>
      <c r="M32" s="341"/>
      <c r="N32" s="340"/>
      <c r="O32" s="341"/>
      <c r="P32" s="340"/>
      <c r="Q32" s="340"/>
      <c r="R32" s="341"/>
      <c r="S32" s="339"/>
      <c r="T32" s="341"/>
      <c r="U32" s="341"/>
      <c r="V32" s="341"/>
      <c r="W32" s="581"/>
      <c r="X32" s="960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</row>
    <row r="33" spans="1:53" s="74" customFormat="1" ht="10.5" customHeight="1" x14ac:dyDescent="0.2">
      <c r="A33" s="346" t="s">
        <v>9</v>
      </c>
      <c r="B33" s="51" t="s">
        <v>5</v>
      </c>
      <c r="C33" s="51" t="s">
        <v>5</v>
      </c>
      <c r="D33" s="262" t="s">
        <v>5</v>
      </c>
      <c r="E33" s="112">
        <v>2005</v>
      </c>
      <c r="F33" s="115">
        <v>1998</v>
      </c>
      <c r="G33" s="729">
        <v>2017</v>
      </c>
      <c r="H33" s="262" t="s">
        <v>5</v>
      </c>
      <c r="I33" s="115"/>
      <c r="J33" s="112">
        <v>2002</v>
      </c>
      <c r="K33" s="220">
        <v>2014</v>
      </c>
      <c r="L33" s="220">
        <v>2018</v>
      </c>
      <c r="M33" s="112">
        <v>2005</v>
      </c>
      <c r="N33" s="112">
        <v>2008</v>
      </c>
      <c r="O33" s="114">
        <v>2010</v>
      </c>
      <c r="P33" s="833">
        <v>2020</v>
      </c>
      <c r="Q33" s="833">
        <v>2021</v>
      </c>
      <c r="R33" s="220">
        <v>2011</v>
      </c>
      <c r="S33" s="220">
        <v>2012</v>
      </c>
      <c r="T33" s="112">
        <v>2007</v>
      </c>
      <c r="U33" s="114">
        <v>2009</v>
      </c>
      <c r="V33" s="114">
        <v>2018</v>
      </c>
      <c r="W33" s="957">
        <v>2020</v>
      </c>
      <c r="X33" s="961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</row>
    <row r="34" spans="1:53" s="18" customFormat="1" ht="15.75" customHeight="1" x14ac:dyDescent="0.2">
      <c r="A34" s="1289" t="s">
        <v>405</v>
      </c>
      <c r="B34" s="213" t="s">
        <v>5</v>
      </c>
      <c r="C34" s="213" t="s">
        <v>5</v>
      </c>
      <c r="D34" s="213" t="s">
        <v>5</v>
      </c>
      <c r="E34" s="1293" t="s">
        <v>434</v>
      </c>
      <c r="F34" s="1290" t="s">
        <v>435</v>
      </c>
      <c r="G34" s="1290" t="s">
        <v>435</v>
      </c>
      <c r="H34" s="213" t="s">
        <v>5</v>
      </c>
      <c r="I34" s="1295" t="s">
        <v>413</v>
      </c>
      <c r="J34" s="1295" t="s">
        <v>413</v>
      </c>
      <c r="K34" s="1297" t="s">
        <v>416</v>
      </c>
      <c r="L34" s="1297" t="s">
        <v>409</v>
      </c>
      <c r="M34" s="1290" t="s">
        <v>411</v>
      </c>
      <c r="N34" s="1290" t="s">
        <v>415</v>
      </c>
      <c r="O34" s="1290" t="s">
        <v>411</v>
      </c>
      <c r="P34" s="1290" t="s">
        <v>417</v>
      </c>
      <c r="Q34" s="1295" t="s">
        <v>411</v>
      </c>
      <c r="R34" s="1290" t="s">
        <v>413</v>
      </c>
      <c r="S34" s="1290" t="s">
        <v>411</v>
      </c>
      <c r="T34" s="1290" t="s">
        <v>411</v>
      </c>
      <c r="U34" s="1290" t="s">
        <v>415</v>
      </c>
      <c r="V34" s="1290" t="s">
        <v>415</v>
      </c>
      <c r="W34" s="1290" t="s">
        <v>413</v>
      </c>
      <c r="X34" s="961"/>
    </row>
    <row r="35" spans="1:53" s="18" customFormat="1" ht="15.75" customHeight="1" x14ac:dyDescent="0.2">
      <c r="A35" s="1289" t="s">
        <v>406</v>
      </c>
      <c r="B35" s="213" t="s">
        <v>5</v>
      </c>
      <c r="C35" s="213" t="s">
        <v>5</v>
      </c>
      <c r="D35" s="213" t="s">
        <v>5</v>
      </c>
      <c r="E35" s="1290" t="s">
        <v>414</v>
      </c>
      <c r="F35" s="1290" t="s">
        <v>436</v>
      </c>
      <c r="G35" s="1290" t="s">
        <v>436</v>
      </c>
      <c r="H35" s="213" t="s">
        <v>5</v>
      </c>
      <c r="I35" s="1295" t="s">
        <v>414</v>
      </c>
      <c r="J35" s="1295" t="s">
        <v>414</v>
      </c>
      <c r="K35" s="1290" t="s">
        <v>417</v>
      </c>
      <c r="L35" s="1290" t="s">
        <v>410</v>
      </c>
      <c r="M35" s="1290" t="s">
        <v>419</v>
      </c>
      <c r="N35" s="1290" t="s">
        <v>408</v>
      </c>
      <c r="O35" s="1291" t="s">
        <v>410</v>
      </c>
      <c r="P35" s="1291" t="s">
        <v>417</v>
      </c>
      <c r="Q35" s="1299" t="s">
        <v>412</v>
      </c>
      <c r="R35" s="1290" t="s">
        <v>414</v>
      </c>
      <c r="S35" s="1290" t="s">
        <v>412</v>
      </c>
      <c r="T35" s="1290" t="s">
        <v>408</v>
      </c>
      <c r="U35" s="1290" t="s">
        <v>419</v>
      </c>
      <c r="V35" s="1298" t="s">
        <v>408</v>
      </c>
      <c r="W35" s="1290" t="s">
        <v>414</v>
      </c>
      <c r="X35" s="961"/>
    </row>
    <row r="36" spans="1:53" s="180" customFormat="1" ht="17.25" customHeight="1" x14ac:dyDescent="0.2">
      <c r="A36" s="353" t="s">
        <v>10</v>
      </c>
      <c r="B36" s="235"/>
      <c r="C36" s="235"/>
      <c r="D36" s="107"/>
      <c r="E36" s="198"/>
      <c r="F36" s="198"/>
      <c r="G36" s="198"/>
      <c r="H36" s="107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473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</row>
    <row r="37" spans="1:53" s="180" customFormat="1" ht="15" customHeight="1" x14ac:dyDescent="0.2">
      <c r="A37" s="1281" t="s">
        <v>379</v>
      </c>
      <c r="B37" s="393" t="s">
        <v>5</v>
      </c>
      <c r="C37" s="393" t="s">
        <v>5</v>
      </c>
      <c r="D37" s="527" t="s">
        <v>5</v>
      </c>
      <c r="E37" s="394">
        <v>15</v>
      </c>
      <c r="F37" s="395">
        <v>7</v>
      </c>
      <c r="G37" s="730">
        <v>5</v>
      </c>
      <c r="H37" s="527" t="s">
        <v>5</v>
      </c>
      <c r="I37" s="1005"/>
      <c r="J37" s="394">
        <v>13</v>
      </c>
      <c r="K37" s="394">
        <v>5</v>
      </c>
      <c r="L37" s="394">
        <v>4</v>
      </c>
      <c r="M37" s="394">
        <v>7</v>
      </c>
      <c r="N37" s="394">
        <v>5</v>
      </c>
      <c r="O37" s="396">
        <v>10</v>
      </c>
      <c r="P37" s="394">
        <v>3</v>
      </c>
      <c r="Q37" s="394">
        <v>3</v>
      </c>
      <c r="R37" s="394">
        <v>7</v>
      </c>
      <c r="S37" s="394">
        <v>6</v>
      </c>
      <c r="T37" s="394">
        <v>4</v>
      </c>
      <c r="U37" s="396">
        <v>7</v>
      </c>
      <c r="V37" s="396">
        <v>4</v>
      </c>
      <c r="W37" s="395">
        <v>3</v>
      </c>
      <c r="X37" s="473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</row>
    <row r="38" spans="1:53" s="229" customFormat="1" ht="17.25" customHeight="1" x14ac:dyDescent="0.2">
      <c r="A38" s="397" t="s">
        <v>27</v>
      </c>
      <c r="B38" s="373" t="s">
        <v>5</v>
      </c>
      <c r="C38" s="373" t="s">
        <v>5</v>
      </c>
      <c r="D38" s="389" t="s">
        <v>5</v>
      </c>
      <c r="E38" s="398">
        <v>23</v>
      </c>
      <c r="F38" s="399">
        <v>12</v>
      </c>
      <c r="G38" s="731">
        <v>12</v>
      </c>
      <c r="H38" s="389" t="s">
        <v>5</v>
      </c>
      <c r="I38" s="1006"/>
      <c r="J38" s="398">
        <v>24</v>
      </c>
      <c r="K38" s="398">
        <v>13</v>
      </c>
      <c r="L38" s="398">
        <v>9</v>
      </c>
      <c r="M38" s="398">
        <v>12</v>
      </c>
      <c r="N38" s="398">
        <v>11</v>
      </c>
      <c r="O38" s="400">
        <v>11</v>
      </c>
      <c r="P38" s="398">
        <v>6</v>
      </c>
      <c r="Q38" s="398">
        <v>6</v>
      </c>
      <c r="R38" s="398">
        <v>11</v>
      </c>
      <c r="S38" s="398">
        <v>13</v>
      </c>
      <c r="T38" s="398">
        <v>12</v>
      </c>
      <c r="U38" s="400">
        <v>12</v>
      </c>
      <c r="V38" s="400">
        <v>9</v>
      </c>
      <c r="W38" s="399">
        <v>6</v>
      </c>
      <c r="X38" s="473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</row>
    <row r="39" spans="1:53" s="184" customFormat="1" ht="17.25" customHeight="1" x14ac:dyDescent="0.2">
      <c r="A39" s="397" t="s">
        <v>28</v>
      </c>
      <c r="B39" s="401" t="s">
        <v>5</v>
      </c>
      <c r="C39" s="401" t="s">
        <v>5</v>
      </c>
      <c r="D39" s="391" t="s">
        <v>5</v>
      </c>
      <c r="E39" s="336">
        <v>22</v>
      </c>
      <c r="F39" s="392">
        <v>12</v>
      </c>
      <c r="G39" s="324">
        <v>9</v>
      </c>
      <c r="H39" s="391" t="s">
        <v>5</v>
      </c>
      <c r="I39" s="392"/>
      <c r="J39" s="336">
        <v>22</v>
      </c>
      <c r="K39" s="336">
        <v>13</v>
      </c>
      <c r="L39" s="336">
        <v>6</v>
      </c>
      <c r="M39" s="336">
        <v>12</v>
      </c>
      <c r="N39" s="336">
        <v>11</v>
      </c>
      <c r="O39" s="335">
        <v>11</v>
      </c>
      <c r="P39" s="336">
        <v>6</v>
      </c>
      <c r="Q39" s="336">
        <v>6</v>
      </c>
      <c r="R39" s="336">
        <v>11</v>
      </c>
      <c r="S39" s="336">
        <v>12</v>
      </c>
      <c r="T39" s="322">
        <v>11</v>
      </c>
      <c r="U39" s="335">
        <v>12</v>
      </c>
      <c r="V39" s="335">
        <v>6</v>
      </c>
      <c r="W39" s="392">
        <v>6</v>
      </c>
      <c r="X39" s="473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</row>
    <row r="40" spans="1:53" s="184" customFormat="1" ht="17.25" customHeight="1" thickBot="1" x14ac:dyDescent="0.25">
      <c r="A40" s="402" t="s">
        <v>29</v>
      </c>
      <c r="B40" s="403" t="s">
        <v>5</v>
      </c>
      <c r="C40" s="403" t="s">
        <v>5</v>
      </c>
      <c r="D40" s="389" t="s">
        <v>5</v>
      </c>
      <c r="E40" s="398">
        <v>20</v>
      </c>
      <c r="F40" s="399">
        <v>11</v>
      </c>
      <c r="G40" s="731">
        <v>6</v>
      </c>
      <c r="H40" s="389" t="s">
        <v>5</v>
      </c>
      <c r="I40" s="1006"/>
      <c r="J40" s="398">
        <v>20</v>
      </c>
      <c r="K40" s="398">
        <v>12</v>
      </c>
      <c r="L40" s="398">
        <v>6</v>
      </c>
      <c r="M40" s="398">
        <v>12</v>
      </c>
      <c r="N40" s="398">
        <v>11</v>
      </c>
      <c r="O40" s="400">
        <v>10</v>
      </c>
      <c r="P40" s="398">
        <v>6</v>
      </c>
      <c r="Q40" s="398">
        <v>6</v>
      </c>
      <c r="R40" s="398">
        <v>10</v>
      </c>
      <c r="S40" s="398">
        <v>12</v>
      </c>
      <c r="T40" s="398">
        <v>11</v>
      </c>
      <c r="U40" s="400">
        <v>11</v>
      </c>
      <c r="V40" s="271">
        <v>6</v>
      </c>
      <c r="W40" s="958">
        <v>6</v>
      </c>
      <c r="X40" s="473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</row>
    <row r="41" spans="1:53" s="184" customFormat="1" ht="17.25" customHeight="1" x14ac:dyDescent="0.2">
      <c r="A41" s="354"/>
      <c r="B41" s="357"/>
      <c r="C41" s="357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5"/>
      <c r="Q41" s="355"/>
      <c r="R41" s="355"/>
      <c r="S41" s="355"/>
      <c r="T41" s="355"/>
      <c r="U41" s="355"/>
      <c r="V41" s="355"/>
      <c r="W41" s="35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</row>
    <row r="42" spans="1:53" x14ac:dyDescent="0.2">
      <c r="A42" s="1" t="s">
        <v>30</v>
      </c>
      <c r="B42" s="2"/>
      <c r="C42" s="2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</row>
    <row r="43" spans="1:53" x14ac:dyDescent="0.2">
      <c r="A43" s="807" t="s">
        <v>366</v>
      </c>
      <c r="B43" s="2"/>
      <c r="C43" s="2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</row>
    <row r="44" spans="1:53" ht="15.75" customHeight="1" x14ac:dyDescent="0.2">
      <c r="A44" s="807" t="s">
        <v>268</v>
      </c>
      <c r="B44" s="2"/>
      <c r="C44" s="2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</row>
    <row r="45" spans="1:53" ht="15.75" customHeight="1" x14ac:dyDescent="0.2">
      <c r="A45" s="1" t="s">
        <v>64</v>
      </c>
      <c r="B45" s="91"/>
      <c r="C45" s="91"/>
      <c r="D45" s="95"/>
      <c r="E45" s="95"/>
      <c r="F45" s="95"/>
      <c r="G45" s="95"/>
      <c r="H45" s="95"/>
      <c r="I45" s="95"/>
      <c r="J45" s="95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</row>
    <row r="46" spans="1:53" ht="15.75" customHeight="1" x14ac:dyDescent="0.2">
      <c r="A46" s="10" t="s">
        <v>213</v>
      </c>
      <c r="D46" s="100"/>
      <c r="H46" s="100"/>
      <c r="I46" s="100"/>
    </row>
    <row r="47" spans="1:53" ht="15.75" customHeight="1" x14ac:dyDescent="0.2">
      <c r="A47" s="146" t="s">
        <v>112</v>
      </c>
      <c r="B47" s="99"/>
      <c r="C47" s="99"/>
    </row>
    <row r="48" spans="1:53" ht="13.9" customHeight="1" x14ac:dyDescent="0.2">
      <c r="A48" s="12"/>
      <c r="B48" s="343"/>
      <c r="C48" s="99"/>
    </row>
    <row r="49" spans="2:7" x14ac:dyDescent="0.2">
      <c r="B49" s="99"/>
      <c r="C49" s="99"/>
      <c r="D49" s="453" t="s">
        <v>1</v>
      </c>
      <c r="E49" s="1278" t="s">
        <v>367</v>
      </c>
    </row>
    <row r="50" spans="2:7" x14ac:dyDescent="0.2">
      <c r="B50" s="453"/>
      <c r="C50" s="1278"/>
      <c r="D50" s="453" t="s">
        <v>4</v>
      </c>
      <c r="E50" s="1278" t="s">
        <v>368</v>
      </c>
    </row>
    <row r="51" spans="2:7" x14ac:dyDescent="0.2">
      <c r="B51" s="453"/>
      <c r="C51" s="1278"/>
      <c r="D51" s="453" t="s">
        <v>2</v>
      </c>
      <c r="E51" s="1278" t="s">
        <v>369</v>
      </c>
      <c r="F51" s="32"/>
      <c r="G51" s="32"/>
    </row>
    <row r="52" spans="2:7" x14ac:dyDescent="0.2">
      <c r="B52" s="453"/>
      <c r="C52" s="1278"/>
      <c r="D52" s="453" t="s">
        <v>3</v>
      </c>
      <c r="E52" s="1278" t="s">
        <v>370</v>
      </c>
      <c r="F52" s="32"/>
      <c r="G52" s="32"/>
    </row>
    <row r="53" spans="2:7" x14ac:dyDescent="0.2">
      <c r="B53" s="453"/>
      <c r="C53" s="1278"/>
      <c r="E53" s="32"/>
      <c r="F53" s="32"/>
      <c r="G53" s="32"/>
    </row>
    <row r="54" spans="2:7" x14ac:dyDescent="0.2">
      <c r="E54" s="101"/>
      <c r="F54" s="101"/>
      <c r="G54" s="101"/>
    </row>
  </sheetData>
  <mergeCells count="1">
    <mergeCell ref="E3:G3"/>
  </mergeCells>
  <phoneticPr fontId="5" type="noConversion"/>
  <printOptions horizontalCentered="1" verticalCentered="1"/>
  <pageMargins left="0.39370078740157483" right="0.39370078740157483" top="0.39370078740157483" bottom="0.39370078740157483" header="0.39370078740157483" footer="0"/>
  <pageSetup paperSize="8" scale="8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I251"/>
  <sheetViews>
    <sheetView topLeftCell="B1" zoomScale="90" zoomScaleNormal="90" workbookViewId="0">
      <selection activeCell="N35" sqref="N35"/>
    </sheetView>
  </sheetViews>
  <sheetFormatPr defaultColWidth="9.140625" defaultRowHeight="12.75" x14ac:dyDescent="0.2"/>
  <cols>
    <col min="1" max="1" width="47" style="6" customWidth="1"/>
    <col min="2" max="2" width="9.42578125" style="95" customWidth="1"/>
    <col min="3" max="3" width="19" style="95" customWidth="1"/>
    <col min="4" max="4" width="17.7109375" style="95" customWidth="1"/>
    <col min="5" max="5" width="15.5703125" style="95" customWidth="1"/>
    <col min="6" max="6" width="15" style="95" customWidth="1"/>
    <col min="7" max="7" width="17.42578125" style="95" customWidth="1"/>
    <col min="8" max="8" width="16" style="95" customWidth="1"/>
    <col min="9" max="9" width="18.140625" style="95" customWidth="1"/>
    <col min="10" max="10" width="20" style="95" customWidth="1"/>
    <col min="11" max="11" width="19" style="104" customWidth="1"/>
    <col min="12" max="12" width="1.140625" style="6" customWidth="1"/>
    <col min="13" max="16384" width="9.140625" style="6"/>
  </cols>
  <sheetData>
    <row r="1" spans="1:61" ht="15" x14ac:dyDescent="0.25">
      <c r="A1" s="41" t="s">
        <v>264</v>
      </c>
      <c r="B1" s="97"/>
      <c r="C1" s="4"/>
      <c r="D1" s="3"/>
      <c r="E1" s="4"/>
      <c r="F1" s="3"/>
      <c r="G1" s="3"/>
      <c r="H1" s="3"/>
      <c r="I1" s="3"/>
      <c r="J1" s="3"/>
      <c r="K1" s="4"/>
      <c r="L1" s="3"/>
    </row>
    <row r="2" spans="1:61" s="53" customFormat="1" ht="9" customHeight="1" thickBot="1" x14ac:dyDescent="0.3"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61" ht="88.15" customHeight="1" x14ac:dyDescent="0.2">
      <c r="A3" s="48"/>
      <c r="B3" s="50" t="s">
        <v>138</v>
      </c>
      <c r="C3" s="20" t="s">
        <v>50</v>
      </c>
      <c r="D3" s="840" t="s">
        <v>49</v>
      </c>
      <c r="E3" s="750" t="s">
        <v>51</v>
      </c>
      <c r="F3" s="750" t="s">
        <v>53</v>
      </c>
      <c r="G3" s="750" t="s">
        <v>52</v>
      </c>
      <c r="H3" s="751" t="s">
        <v>54</v>
      </c>
      <c r="I3" s="751" t="s">
        <v>55</v>
      </c>
      <c r="J3" s="750" t="s">
        <v>211</v>
      </c>
      <c r="K3" s="933" t="s">
        <v>56</v>
      </c>
    </row>
    <row r="4" spans="1:61" ht="27" customHeight="1" x14ac:dyDescent="0.2">
      <c r="A4" s="43" t="s">
        <v>26</v>
      </c>
      <c r="B4" s="52" t="s">
        <v>5</v>
      </c>
      <c r="C4" s="23" t="s">
        <v>1</v>
      </c>
      <c r="D4" s="841" t="s">
        <v>1</v>
      </c>
      <c r="E4" s="673" t="s">
        <v>1</v>
      </c>
      <c r="F4" s="673" t="s">
        <v>4</v>
      </c>
      <c r="G4" s="673" t="s">
        <v>1</v>
      </c>
      <c r="H4" s="673" t="s">
        <v>1</v>
      </c>
      <c r="I4" s="673" t="s">
        <v>4</v>
      </c>
      <c r="J4" s="673" t="s">
        <v>2</v>
      </c>
      <c r="K4" s="934" t="s">
        <v>4</v>
      </c>
    </row>
    <row r="5" spans="1:61" x14ac:dyDescent="0.2">
      <c r="A5" s="49" t="s">
        <v>11</v>
      </c>
      <c r="B5" s="29" t="s">
        <v>5</v>
      </c>
      <c r="C5" s="24">
        <v>39240.950000000004</v>
      </c>
      <c r="D5" s="842">
        <v>39241.100000000006</v>
      </c>
      <c r="E5" s="842">
        <v>39241.710000000006</v>
      </c>
      <c r="F5" s="755">
        <v>39241.860000000008</v>
      </c>
      <c r="G5" s="755">
        <v>39242.670000000006</v>
      </c>
      <c r="H5" s="755">
        <v>39243.530000000006</v>
      </c>
      <c r="I5" s="755">
        <v>39244.19000000001</v>
      </c>
      <c r="J5" s="755">
        <v>43629</v>
      </c>
      <c r="K5" s="935">
        <v>39249.93</v>
      </c>
    </row>
    <row r="6" spans="1:61" s="25" customFormat="1" ht="15" customHeight="1" x14ac:dyDescent="0.2">
      <c r="A6" s="427" t="s">
        <v>60</v>
      </c>
      <c r="B6" s="428"/>
      <c r="C6" s="835"/>
      <c r="D6" s="429"/>
      <c r="E6" s="429"/>
      <c r="F6" s="529"/>
      <c r="G6" s="529"/>
      <c r="H6" s="529"/>
      <c r="I6" s="529"/>
      <c r="J6" s="529"/>
      <c r="K6" s="936"/>
      <c r="N6" s="6"/>
    </row>
    <row r="7" spans="1:61" s="25" customFormat="1" ht="15" customHeight="1" x14ac:dyDescent="0.2">
      <c r="A7" s="685" t="s">
        <v>318</v>
      </c>
      <c r="B7" s="431">
        <v>100</v>
      </c>
      <c r="C7" s="432">
        <v>100</v>
      </c>
      <c r="D7" s="433">
        <v>102</v>
      </c>
      <c r="E7" s="432">
        <v>102</v>
      </c>
      <c r="F7" s="432">
        <v>95</v>
      </c>
      <c r="G7" s="432">
        <v>100</v>
      </c>
      <c r="H7" s="432">
        <v>96</v>
      </c>
      <c r="I7" s="432">
        <v>101</v>
      </c>
      <c r="J7" s="432">
        <v>101</v>
      </c>
      <c r="K7" s="937">
        <v>96</v>
      </c>
      <c r="N7" s="6"/>
      <c r="U7" s="415"/>
      <c r="AA7" s="170"/>
    </row>
    <row r="8" spans="1:61" s="25" customFormat="1" ht="15" customHeight="1" x14ac:dyDescent="0.2">
      <c r="A8" s="758" t="s">
        <v>227</v>
      </c>
      <c r="B8" s="434">
        <f>65+7.59999999999999</f>
        <v>72.599999999999994</v>
      </c>
      <c r="C8" s="435">
        <f>65+8.3</f>
        <v>73.3</v>
      </c>
      <c r="D8" s="436">
        <f>65+6.7</f>
        <v>71.7</v>
      </c>
      <c r="E8" s="435">
        <f>65+6.8</f>
        <v>71.8</v>
      </c>
      <c r="F8" s="435">
        <f>65+8.5</f>
        <v>73.5</v>
      </c>
      <c r="G8" s="435">
        <f>65+7.3</f>
        <v>72.3</v>
      </c>
      <c r="H8" s="435">
        <f>65+9.09999999999999</f>
        <v>74.099999999999994</v>
      </c>
      <c r="I8" s="435">
        <f>65+8.09999999999999</f>
        <v>73.099999999999994</v>
      </c>
      <c r="J8" s="435">
        <f>65+9.5</f>
        <v>74.5</v>
      </c>
      <c r="K8" s="938">
        <f>65+7.5</f>
        <v>72.5</v>
      </c>
      <c r="N8" s="6"/>
    </row>
    <row r="9" spans="1:61" s="25" customFormat="1" ht="15" customHeight="1" x14ac:dyDescent="0.2">
      <c r="A9" s="688" t="s">
        <v>381</v>
      </c>
      <c r="B9" s="310">
        <v>100</v>
      </c>
      <c r="C9" s="202">
        <v>101</v>
      </c>
      <c r="D9" s="203">
        <v>101</v>
      </c>
      <c r="E9" s="202">
        <v>101</v>
      </c>
      <c r="F9" s="202">
        <v>96</v>
      </c>
      <c r="G9" s="202">
        <v>99</v>
      </c>
      <c r="H9" s="202">
        <v>98</v>
      </c>
      <c r="I9" s="202">
        <v>101</v>
      </c>
      <c r="J9" s="202">
        <v>104</v>
      </c>
      <c r="K9" s="601">
        <v>96</v>
      </c>
      <c r="L9" s="376"/>
      <c r="N9" s="6"/>
      <c r="R9" s="843"/>
      <c r="S9" s="843"/>
      <c r="T9" s="843"/>
      <c r="U9" s="843"/>
      <c r="V9" s="843"/>
      <c r="W9" s="843"/>
      <c r="X9" s="843"/>
      <c r="Y9" s="844"/>
      <c r="Z9" s="843"/>
      <c r="AA9" s="845"/>
    </row>
    <row r="10" spans="1:61" s="537" customFormat="1" ht="15" customHeight="1" x14ac:dyDescent="0.2">
      <c r="A10" s="222" t="s">
        <v>12</v>
      </c>
      <c r="B10" s="535"/>
      <c r="C10" s="836"/>
      <c r="D10" s="616"/>
      <c r="E10" s="616"/>
      <c r="F10" s="616"/>
      <c r="G10" s="616"/>
      <c r="H10" s="616"/>
      <c r="I10" s="616"/>
      <c r="J10" s="616"/>
      <c r="K10" s="939"/>
      <c r="L10" s="536"/>
      <c r="M10" s="25"/>
      <c r="N10" s="536"/>
      <c r="O10" s="536"/>
      <c r="P10" s="536"/>
      <c r="Q10" s="536"/>
      <c r="R10" s="536"/>
      <c r="S10" s="536"/>
      <c r="T10" s="25"/>
      <c r="U10" s="25"/>
      <c r="V10" s="415"/>
      <c r="W10" s="25"/>
      <c r="X10" s="25"/>
      <c r="Y10" s="25"/>
      <c r="Z10" s="540"/>
      <c r="AA10" s="25"/>
      <c r="AB10" s="170"/>
      <c r="AC10" s="25"/>
      <c r="AD10" s="536"/>
      <c r="AE10" s="536"/>
      <c r="AF10" s="536"/>
      <c r="AG10" s="536"/>
      <c r="AH10" s="536"/>
      <c r="AI10" s="536"/>
      <c r="AJ10" s="536"/>
      <c r="AK10" s="536"/>
      <c r="AL10" s="536"/>
      <c r="AM10" s="536"/>
      <c r="AN10" s="536"/>
      <c r="AO10" s="536"/>
      <c r="AP10" s="536"/>
      <c r="AQ10" s="536"/>
      <c r="AR10" s="536"/>
      <c r="AS10" s="536"/>
      <c r="AT10" s="536"/>
      <c r="AU10" s="536"/>
      <c r="AV10" s="536"/>
      <c r="AW10" s="536"/>
      <c r="AX10" s="536"/>
      <c r="AY10" s="536"/>
      <c r="AZ10" s="536"/>
      <c r="BA10" s="536"/>
      <c r="BB10" s="536"/>
      <c r="BC10" s="536"/>
      <c r="BD10" s="536"/>
      <c r="BE10" s="536"/>
      <c r="BF10" s="536"/>
      <c r="BG10" s="536"/>
      <c r="BH10" s="536"/>
      <c r="BI10" s="536"/>
    </row>
    <row r="11" spans="1:61" s="25" customFormat="1" ht="15" customHeight="1" x14ac:dyDescent="0.2">
      <c r="A11" s="685" t="s">
        <v>319</v>
      </c>
      <c r="B11" s="431">
        <v>100</v>
      </c>
      <c r="C11" s="432">
        <v>110</v>
      </c>
      <c r="D11" s="433">
        <v>104</v>
      </c>
      <c r="E11" s="432">
        <v>105</v>
      </c>
      <c r="F11" s="432">
        <v>78</v>
      </c>
      <c r="G11" s="432">
        <v>96</v>
      </c>
      <c r="H11" s="432">
        <v>85</v>
      </c>
      <c r="I11" s="432">
        <v>86</v>
      </c>
      <c r="J11" s="756" t="s">
        <v>212</v>
      </c>
      <c r="K11" s="937">
        <v>88</v>
      </c>
    </row>
    <row r="12" spans="1:61" s="185" customFormat="1" ht="15" customHeight="1" x14ac:dyDescent="0.2">
      <c r="A12" s="686" t="s">
        <v>320</v>
      </c>
      <c r="B12" s="442">
        <v>100</v>
      </c>
      <c r="C12" s="602">
        <v>103</v>
      </c>
      <c r="D12" s="443">
        <v>103</v>
      </c>
      <c r="E12" s="602">
        <v>106</v>
      </c>
      <c r="F12" s="602">
        <v>90</v>
      </c>
      <c r="G12" s="602">
        <v>95</v>
      </c>
      <c r="H12" s="602">
        <v>93</v>
      </c>
      <c r="I12" s="602">
        <v>95</v>
      </c>
      <c r="J12" s="602">
        <v>105</v>
      </c>
      <c r="K12" s="940">
        <v>87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61" s="185" customFormat="1" ht="15" customHeight="1" x14ac:dyDescent="0.2">
      <c r="A13" s="686" t="s">
        <v>362</v>
      </c>
      <c r="B13" s="442">
        <v>100</v>
      </c>
      <c r="C13" s="602">
        <v>100</v>
      </c>
      <c r="D13" s="443">
        <v>101</v>
      </c>
      <c r="E13" s="602">
        <v>99</v>
      </c>
      <c r="F13" s="602">
        <v>98</v>
      </c>
      <c r="G13" s="602">
        <v>103</v>
      </c>
      <c r="H13" s="602">
        <v>98</v>
      </c>
      <c r="I13" s="602">
        <v>99</v>
      </c>
      <c r="J13" s="602">
        <v>98</v>
      </c>
      <c r="K13" s="940">
        <v>101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</row>
    <row r="14" spans="1:61" s="185" customFormat="1" ht="15" customHeight="1" x14ac:dyDescent="0.2">
      <c r="A14" s="686" t="s">
        <v>363</v>
      </c>
      <c r="B14" s="442">
        <v>100</v>
      </c>
      <c r="C14" s="602">
        <v>100</v>
      </c>
      <c r="D14" s="443">
        <v>102</v>
      </c>
      <c r="E14" s="684">
        <v>101</v>
      </c>
      <c r="F14" s="602">
        <v>96</v>
      </c>
      <c r="G14" s="602">
        <v>101</v>
      </c>
      <c r="H14" s="602">
        <v>97</v>
      </c>
      <c r="I14" s="603">
        <v>103</v>
      </c>
      <c r="J14" s="602">
        <v>98</v>
      </c>
      <c r="K14" s="940">
        <v>96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</row>
    <row r="15" spans="1:61" s="185" customFormat="1" ht="15" customHeight="1" x14ac:dyDescent="0.2">
      <c r="A15" s="687" t="s">
        <v>321</v>
      </c>
      <c r="B15" s="444">
        <v>100</v>
      </c>
      <c r="C15" s="603">
        <v>97</v>
      </c>
      <c r="D15" s="445">
        <v>104</v>
      </c>
      <c r="E15" s="603">
        <v>107</v>
      </c>
      <c r="F15" s="603">
        <v>90</v>
      </c>
      <c r="G15" s="603">
        <v>97</v>
      </c>
      <c r="H15" s="603">
        <v>95</v>
      </c>
      <c r="I15" s="603">
        <v>111</v>
      </c>
      <c r="J15" s="603">
        <v>111</v>
      </c>
      <c r="K15" s="941">
        <v>94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</row>
    <row r="16" spans="1:61" s="25" customFormat="1" ht="15" customHeight="1" x14ac:dyDescent="0.2">
      <c r="A16" s="427" t="s">
        <v>14</v>
      </c>
      <c r="B16" s="428"/>
      <c r="C16" s="835"/>
      <c r="D16" s="429"/>
      <c r="E16" s="429"/>
      <c r="F16" s="429"/>
      <c r="G16" s="429"/>
      <c r="H16" s="429"/>
      <c r="I16" s="429"/>
      <c r="J16" s="429"/>
      <c r="K16" s="942"/>
    </row>
    <row r="17" spans="1:61" s="25" customFormat="1" ht="15" customHeight="1" x14ac:dyDescent="0.2">
      <c r="A17" s="686" t="s">
        <v>322</v>
      </c>
      <c r="B17" s="442">
        <v>100</v>
      </c>
      <c r="C17" s="602">
        <v>99</v>
      </c>
      <c r="D17" s="443">
        <v>101</v>
      </c>
      <c r="E17" s="602">
        <v>103</v>
      </c>
      <c r="F17" s="602">
        <v>95</v>
      </c>
      <c r="G17" s="602">
        <v>97</v>
      </c>
      <c r="H17" s="602">
        <v>100</v>
      </c>
      <c r="I17" s="602">
        <v>98</v>
      </c>
      <c r="J17" s="602">
        <v>96</v>
      </c>
      <c r="K17" s="940">
        <v>97</v>
      </c>
    </row>
    <row r="18" spans="1:61" s="25" customFormat="1" ht="15" customHeight="1" x14ac:dyDescent="0.2">
      <c r="A18" s="688" t="s">
        <v>359</v>
      </c>
      <c r="B18" s="310">
        <v>100</v>
      </c>
      <c r="C18" s="202">
        <v>100</v>
      </c>
      <c r="D18" s="203">
        <v>100</v>
      </c>
      <c r="E18" s="202">
        <v>102</v>
      </c>
      <c r="F18" s="202">
        <v>97</v>
      </c>
      <c r="G18" s="202">
        <v>97</v>
      </c>
      <c r="H18" s="202">
        <v>101</v>
      </c>
      <c r="I18" s="202">
        <v>98</v>
      </c>
      <c r="J18" s="202">
        <v>102</v>
      </c>
      <c r="K18" s="601">
        <v>99</v>
      </c>
    </row>
    <row r="19" spans="1:61" s="25" customFormat="1" ht="15" customHeight="1" x14ac:dyDescent="0.2">
      <c r="A19" s="686" t="s">
        <v>323</v>
      </c>
      <c r="B19" s="442">
        <v>100</v>
      </c>
      <c r="C19" s="602">
        <v>99</v>
      </c>
      <c r="D19" s="443">
        <v>103</v>
      </c>
      <c r="E19" s="602">
        <v>102</v>
      </c>
      <c r="F19" s="602">
        <v>96</v>
      </c>
      <c r="G19" s="602">
        <v>98</v>
      </c>
      <c r="H19" s="602">
        <v>97</v>
      </c>
      <c r="I19" s="602">
        <v>97</v>
      </c>
      <c r="J19" s="602">
        <v>101</v>
      </c>
      <c r="K19" s="940">
        <v>96</v>
      </c>
      <c r="P19" s="331"/>
    </row>
    <row r="20" spans="1:61" s="25" customFormat="1" ht="15" customHeight="1" x14ac:dyDescent="0.2">
      <c r="A20" s="717" t="s">
        <v>351</v>
      </c>
      <c r="B20" s="501">
        <v>100</v>
      </c>
      <c r="C20" s="202">
        <v>99</v>
      </c>
      <c r="D20" s="203">
        <v>101.93333333333334</v>
      </c>
      <c r="E20" s="202">
        <v>102.52380952380952</v>
      </c>
      <c r="F20" s="202">
        <v>95.478260869565219</v>
      </c>
      <c r="G20" s="202">
        <v>97.5</v>
      </c>
      <c r="H20" s="202">
        <v>98.571428571428569</v>
      </c>
      <c r="I20" s="202">
        <v>97.5</v>
      </c>
      <c r="J20" s="202">
        <v>98.5</v>
      </c>
      <c r="K20" s="601">
        <v>96.516129032258064</v>
      </c>
      <c r="S20" s="415"/>
      <c r="W20" s="540"/>
      <c r="Y20" s="170"/>
    </row>
    <row r="21" spans="1:61" s="541" customFormat="1" ht="15" customHeight="1" x14ac:dyDescent="0.2">
      <c r="A21" s="538" t="s">
        <v>25</v>
      </c>
      <c r="B21" s="539"/>
      <c r="C21" s="851"/>
      <c r="D21" s="852"/>
      <c r="E21" s="852"/>
      <c r="F21" s="852"/>
      <c r="G21" s="852"/>
      <c r="H21" s="852"/>
      <c r="I21" s="852"/>
      <c r="J21" s="852"/>
      <c r="K21" s="853"/>
      <c r="L21" s="540"/>
      <c r="M21" s="25"/>
      <c r="N21" s="540"/>
      <c r="O21" s="540"/>
      <c r="P21" s="540"/>
      <c r="Q21" s="540"/>
      <c r="R21" s="540"/>
      <c r="S21" s="540"/>
      <c r="T21" s="540"/>
      <c r="U21" s="540"/>
      <c r="V21" s="540"/>
      <c r="W21" s="540"/>
      <c r="X21" s="540"/>
      <c r="Y21" s="540"/>
      <c r="Z21" s="540"/>
      <c r="AA21" s="540"/>
      <c r="AB21" s="540"/>
      <c r="AC21" s="540"/>
      <c r="AD21" s="540"/>
      <c r="AE21" s="540"/>
      <c r="AF21" s="540"/>
      <c r="AG21" s="540"/>
      <c r="AH21" s="540"/>
      <c r="AI21" s="540"/>
      <c r="AJ21" s="540"/>
      <c r="AK21" s="540"/>
      <c r="AL21" s="540"/>
      <c r="AM21" s="540"/>
      <c r="AN21" s="540"/>
      <c r="AO21" s="540"/>
      <c r="AP21" s="540"/>
      <c r="AQ21" s="540"/>
      <c r="AR21" s="540"/>
      <c r="AS21" s="540"/>
      <c r="AT21" s="540"/>
      <c r="AU21" s="540"/>
      <c r="AV21" s="540"/>
      <c r="AW21" s="540"/>
      <c r="AX21" s="540"/>
      <c r="AY21" s="540"/>
      <c r="AZ21" s="540"/>
      <c r="BA21" s="540"/>
      <c r="BB21" s="540"/>
      <c r="BC21" s="540"/>
      <c r="BD21" s="540"/>
      <c r="BE21" s="540"/>
      <c r="BF21" s="540"/>
      <c r="BG21" s="540"/>
      <c r="BH21" s="540"/>
      <c r="BI21" s="540"/>
    </row>
    <row r="22" spans="1:61" s="185" customFormat="1" ht="15" customHeight="1" x14ac:dyDescent="0.2">
      <c r="A22" s="685" t="s">
        <v>324</v>
      </c>
      <c r="B22" s="431">
        <v>100</v>
      </c>
      <c r="C22" s="432">
        <v>100</v>
      </c>
      <c r="D22" s="433">
        <v>103</v>
      </c>
      <c r="E22" s="432">
        <v>102</v>
      </c>
      <c r="F22" s="432">
        <v>93</v>
      </c>
      <c r="G22" s="432">
        <v>96</v>
      </c>
      <c r="H22" s="432">
        <v>99</v>
      </c>
      <c r="I22" s="432">
        <v>95</v>
      </c>
      <c r="J22" s="432">
        <v>97</v>
      </c>
      <c r="K22" s="937">
        <v>94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</row>
    <row r="23" spans="1:61" s="185" customFormat="1" ht="15" customHeight="1" x14ac:dyDescent="0.2">
      <c r="A23" s="758" t="s">
        <v>226</v>
      </c>
      <c r="B23" s="450">
        <f>65+1.4</f>
        <v>66.400000000000006</v>
      </c>
      <c r="C23" s="669">
        <f>65+1</f>
        <v>66</v>
      </c>
      <c r="D23" s="436">
        <f>65+0.400000000000006</f>
        <v>65.400000000000006</v>
      </c>
      <c r="E23" s="435">
        <f>65+1.09999999999999</f>
        <v>66.099999999999994</v>
      </c>
      <c r="F23" s="435">
        <f>65+3.40000000000001</f>
        <v>68.400000000000006</v>
      </c>
      <c r="G23" s="435">
        <f>65+1.40000000000001</f>
        <v>66.400000000000006</v>
      </c>
      <c r="H23" s="435">
        <f>65+3.2</f>
        <v>68.2</v>
      </c>
      <c r="I23" s="435">
        <f>65+2.8</f>
        <v>67.8</v>
      </c>
      <c r="J23" s="435">
        <f>65+5.3</f>
        <v>70.3</v>
      </c>
      <c r="K23" s="938">
        <f>65+4</f>
        <v>69</v>
      </c>
      <c r="L23" s="376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</row>
    <row r="24" spans="1:61" s="185" customFormat="1" ht="15" customHeight="1" x14ac:dyDescent="0.2">
      <c r="A24" s="686" t="s">
        <v>325</v>
      </c>
      <c r="B24" s="442">
        <v>100</v>
      </c>
      <c r="C24" s="602">
        <v>99</v>
      </c>
      <c r="D24" s="443">
        <v>100</v>
      </c>
      <c r="E24" s="602">
        <v>104</v>
      </c>
      <c r="F24" s="602">
        <v>100</v>
      </c>
      <c r="G24" s="602">
        <v>98</v>
      </c>
      <c r="H24" s="602">
        <v>98</v>
      </c>
      <c r="I24" s="602">
        <v>98</v>
      </c>
      <c r="J24" s="602">
        <v>98</v>
      </c>
      <c r="K24" s="940">
        <v>103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</row>
    <row r="25" spans="1:61" s="25" customFormat="1" ht="15" customHeight="1" x14ac:dyDescent="0.2">
      <c r="A25" s="778" t="s">
        <v>225</v>
      </c>
      <c r="B25" s="434">
        <f>65+-0.1</f>
        <v>64.900000000000006</v>
      </c>
      <c r="C25" s="435">
        <f>65+0.0999999999999943</f>
        <v>65.099999999999994</v>
      </c>
      <c r="D25" s="436">
        <f>65+-0.5</f>
        <v>64.5</v>
      </c>
      <c r="E25" s="435">
        <f>65+-0.700000000000003</f>
        <v>64.3</v>
      </c>
      <c r="F25" s="435">
        <f>65+0</f>
        <v>65</v>
      </c>
      <c r="G25" s="435">
        <f>65+-0.200000000000003</f>
        <v>64.8</v>
      </c>
      <c r="H25" s="435">
        <f>65+0.900000000000006</f>
        <v>65.900000000000006</v>
      </c>
      <c r="I25" s="435">
        <f>65+0.900000000000006</f>
        <v>65.900000000000006</v>
      </c>
      <c r="J25" s="435">
        <f>65+2.3</f>
        <v>67.3</v>
      </c>
      <c r="K25" s="938">
        <f>65+-0.400000000000006</f>
        <v>64.599999999999994</v>
      </c>
      <c r="L25" s="415"/>
      <c r="N25" s="415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5"/>
      <c r="AC25" s="415"/>
    </row>
    <row r="26" spans="1:61" s="185" customFormat="1" ht="15" customHeight="1" x14ac:dyDescent="0.2">
      <c r="A26" s="686" t="s">
        <v>326</v>
      </c>
      <c r="B26" s="442">
        <v>100</v>
      </c>
      <c r="C26" s="602">
        <v>99</v>
      </c>
      <c r="D26" s="443">
        <v>99</v>
      </c>
      <c r="E26" s="602">
        <v>106</v>
      </c>
      <c r="F26" s="602">
        <v>95</v>
      </c>
      <c r="G26" s="602">
        <v>97</v>
      </c>
      <c r="H26" s="602">
        <v>99</v>
      </c>
      <c r="I26" s="602">
        <v>100</v>
      </c>
      <c r="J26" s="602">
        <v>85</v>
      </c>
      <c r="K26" s="940">
        <v>93</v>
      </c>
      <c r="L26" s="25"/>
      <c r="M26" s="25"/>
      <c r="N26" s="25"/>
      <c r="O26" s="25"/>
      <c r="P26" s="25"/>
      <c r="Q26" s="25"/>
      <c r="R26" s="25"/>
      <c r="S26" s="331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</row>
    <row r="27" spans="1:61" s="185" customFormat="1" ht="15" customHeight="1" x14ac:dyDescent="0.2">
      <c r="A27" s="689" t="s">
        <v>327</v>
      </c>
      <c r="B27" s="501">
        <v>100</v>
      </c>
      <c r="C27" s="602">
        <v>97</v>
      </c>
      <c r="D27" s="443">
        <v>99</v>
      </c>
      <c r="E27" s="602">
        <v>101</v>
      </c>
      <c r="F27" s="602">
        <v>92</v>
      </c>
      <c r="G27" s="602">
        <v>100</v>
      </c>
      <c r="H27" s="602">
        <v>103</v>
      </c>
      <c r="I27" s="602">
        <v>102</v>
      </c>
      <c r="J27" s="602">
        <v>106</v>
      </c>
      <c r="K27" s="940">
        <v>98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</row>
    <row r="28" spans="1:61" s="25" customFormat="1" ht="15" customHeight="1" x14ac:dyDescent="0.2">
      <c r="A28" s="455" t="s">
        <v>15</v>
      </c>
      <c r="B28" s="457"/>
      <c r="C28" s="837"/>
      <c r="D28" s="458"/>
      <c r="E28" s="458"/>
      <c r="F28" s="458"/>
      <c r="G28" s="458"/>
      <c r="H28" s="458"/>
      <c r="I28" s="458"/>
      <c r="J28" s="458"/>
      <c r="K28" s="943"/>
    </row>
    <row r="29" spans="1:61" s="25" customFormat="1" ht="15" customHeight="1" x14ac:dyDescent="0.2">
      <c r="A29" s="302" t="s">
        <v>285</v>
      </c>
      <c r="B29" s="444">
        <v>65</v>
      </c>
      <c r="C29" s="603">
        <v>64.3</v>
      </c>
      <c r="D29" s="445">
        <v>63.7</v>
      </c>
      <c r="E29" s="603">
        <v>62</v>
      </c>
      <c r="F29" s="603">
        <v>67.2</v>
      </c>
      <c r="G29" s="603">
        <v>67.8</v>
      </c>
      <c r="H29" s="603">
        <v>67.2</v>
      </c>
      <c r="I29" s="603">
        <v>54.1</v>
      </c>
      <c r="J29" s="603">
        <v>68.599999999999994</v>
      </c>
      <c r="K29" s="941">
        <v>70.400000000000006</v>
      </c>
      <c r="V29" s="540"/>
      <c r="Z29" s="415"/>
    </row>
    <row r="30" spans="1:61" s="185" customFormat="1" ht="15" customHeight="1" x14ac:dyDescent="0.2">
      <c r="A30" s="302" t="s">
        <v>286</v>
      </c>
      <c r="B30" s="442">
        <v>61.3</v>
      </c>
      <c r="C30" s="602">
        <v>61.6</v>
      </c>
      <c r="D30" s="608">
        <v>59.1</v>
      </c>
      <c r="E30" s="605">
        <v>57.5</v>
      </c>
      <c r="F30" s="605">
        <v>64.3</v>
      </c>
      <c r="G30" s="605">
        <v>63.1</v>
      </c>
      <c r="H30" s="605">
        <v>65.099999999999994</v>
      </c>
      <c r="I30" s="605">
        <v>52.6</v>
      </c>
      <c r="J30" s="605">
        <v>62.6</v>
      </c>
      <c r="K30" s="944">
        <v>67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</row>
    <row r="31" spans="1:61" s="170" customFormat="1" ht="15" customHeight="1" x14ac:dyDescent="0.2">
      <c r="A31" s="1282" t="s">
        <v>290</v>
      </c>
      <c r="B31" s="459">
        <v>4.9198167999999995</v>
      </c>
      <c r="C31" s="606">
        <v>4.8940649999999994</v>
      </c>
      <c r="D31" s="460">
        <v>4.7310739999999996</v>
      </c>
      <c r="E31" s="606">
        <v>4.5206250000000008</v>
      </c>
      <c r="F31" s="606">
        <v>5.2281821739130425</v>
      </c>
      <c r="G31" s="606">
        <v>5.1858149999999998</v>
      </c>
      <c r="H31" s="606">
        <v>5.2675049999999999</v>
      </c>
      <c r="I31" s="606">
        <v>3.7737450000000003</v>
      </c>
      <c r="J31" s="606">
        <v>5.2033200000000015</v>
      </c>
      <c r="K31" s="945">
        <v>5.5714896774193559</v>
      </c>
      <c r="M31" s="25"/>
    </row>
    <row r="32" spans="1:61" s="25" customFormat="1" ht="15" customHeight="1" x14ac:dyDescent="0.2">
      <c r="A32" s="1286" t="s">
        <v>378</v>
      </c>
      <c r="B32" s="446">
        <v>7.1</v>
      </c>
      <c r="C32" s="610">
        <v>7.2</v>
      </c>
      <c r="D32" s="617">
        <v>7.2</v>
      </c>
      <c r="E32" s="610">
        <v>7.2</v>
      </c>
      <c r="F32" s="610">
        <v>6.9</v>
      </c>
      <c r="G32" s="610">
        <v>7</v>
      </c>
      <c r="H32" s="610">
        <v>6.7</v>
      </c>
      <c r="I32" s="610">
        <v>6.6</v>
      </c>
      <c r="J32" s="850" t="s">
        <v>5</v>
      </c>
      <c r="K32" s="946">
        <v>6.8</v>
      </c>
      <c r="R32" s="331"/>
    </row>
    <row r="33" spans="1:61" s="25" customFormat="1" ht="8.25" customHeight="1" x14ac:dyDescent="0.2">
      <c r="A33" s="211"/>
      <c r="B33" s="247"/>
      <c r="C33" s="838"/>
      <c r="D33" s="248"/>
      <c r="E33" s="248"/>
      <c r="F33" s="248"/>
      <c r="G33" s="248"/>
      <c r="H33" s="248"/>
      <c r="I33" s="248"/>
      <c r="J33" s="248"/>
      <c r="K33" s="947"/>
      <c r="Q33" s="331"/>
    </row>
    <row r="34" spans="1:61" s="25" customFormat="1" ht="15" customHeight="1" x14ac:dyDescent="0.2">
      <c r="A34" s="275" t="s">
        <v>9</v>
      </c>
      <c r="B34" s="213" t="s">
        <v>5</v>
      </c>
      <c r="C34" s="65">
        <v>2005</v>
      </c>
      <c r="D34" s="66">
        <v>2001</v>
      </c>
      <c r="E34" s="65">
        <v>2003</v>
      </c>
      <c r="F34" s="65">
        <v>1990</v>
      </c>
      <c r="G34" s="65">
        <v>1989</v>
      </c>
      <c r="H34" s="65">
        <v>2003</v>
      </c>
      <c r="I34" s="65">
        <v>2005</v>
      </c>
      <c r="J34" s="674">
        <v>2020</v>
      </c>
      <c r="K34" s="948">
        <v>1974</v>
      </c>
    </row>
    <row r="35" spans="1:61" s="25" customFormat="1" ht="15" customHeight="1" x14ac:dyDescent="0.2">
      <c r="A35" s="1289" t="s">
        <v>405</v>
      </c>
      <c r="B35" s="213" t="s">
        <v>5</v>
      </c>
      <c r="C35" s="1297" t="s">
        <v>431</v>
      </c>
      <c r="D35" s="1290" t="s">
        <v>428</v>
      </c>
      <c r="E35" s="1290" t="s">
        <v>428</v>
      </c>
      <c r="F35" s="1290" t="s">
        <v>430</v>
      </c>
      <c r="G35" s="1290" t="s">
        <v>415</v>
      </c>
      <c r="H35" s="1290" t="s">
        <v>415</v>
      </c>
      <c r="I35" s="1290" t="s">
        <v>415</v>
      </c>
      <c r="J35" s="1290" t="s">
        <v>433</v>
      </c>
      <c r="K35" s="1290" t="s">
        <v>415</v>
      </c>
    </row>
    <row r="36" spans="1:61" s="25" customFormat="1" ht="15" customHeight="1" x14ac:dyDescent="0.2">
      <c r="A36" s="1289" t="s">
        <v>406</v>
      </c>
      <c r="B36" s="213" t="s">
        <v>5</v>
      </c>
      <c r="C36" s="1290" t="s">
        <v>414</v>
      </c>
      <c r="D36" s="1290" t="s">
        <v>419</v>
      </c>
      <c r="E36" s="1290" t="s">
        <v>408</v>
      </c>
      <c r="F36" s="1290" t="s">
        <v>408</v>
      </c>
      <c r="G36" s="1290" t="s">
        <v>419</v>
      </c>
      <c r="H36" s="1290" t="s">
        <v>408</v>
      </c>
      <c r="I36" s="1290" t="s">
        <v>419</v>
      </c>
      <c r="J36" s="1290" t="s">
        <v>410</v>
      </c>
      <c r="K36" s="1290" t="s">
        <v>419</v>
      </c>
    </row>
    <row r="37" spans="1:61" s="545" customFormat="1" ht="15" customHeight="1" x14ac:dyDescent="0.2">
      <c r="A37" s="249" t="s">
        <v>10</v>
      </c>
      <c r="B37" s="543"/>
      <c r="C37" s="839"/>
      <c r="D37" s="544"/>
      <c r="E37" s="544"/>
      <c r="F37" s="544"/>
      <c r="G37" s="544"/>
      <c r="H37" s="544"/>
      <c r="I37" s="544"/>
      <c r="J37" s="544"/>
      <c r="K37" s="949"/>
      <c r="L37" s="536"/>
      <c r="M37" s="536"/>
      <c r="N37" s="536"/>
      <c r="O37" s="536"/>
      <c r="P37" s="536"/>
      <c r="Q37" s="536"/>
      <c r="R37" s="536"/>
      <c r="S37" s="536"/>
      <c r="T37" s="536"/>
      <c r="U37" s="536"/>
      <c r="V37" s="536"/>
      <c r="W37" s="536"/>
      <c r="X37" s="536"/>
      <c r="Y37" s="536"/>
      <c r="Z37" s="536"/>
      <c r="AA37" s="536"/>
      <c r="AB37" s="536"/>
      <c r="AC37" s="536"/>
      <c r="AD37" s="536"/>
      <c r="AE37" s="536"/>
      <c r="AF37" s="536"/>
      <c r="AG37" s="536"/>
      <c r="AH37" s="536"/>
      <c r="AI37" s="536"/>
      <c r="AJ37" s="536"/>
      <c r="AK37" s="536"/>
      <c r="AL37" s="536"/>
      <c r="AM37" s="536"/>
      <c r="AN37" s="536"/>
      <c r="AO37" s="536"/>
      <c r="AP37" s="536"/>
      <c r="AQ37" s="536"/>
      <c r="AR37" s="536"/>
      <c r="AS37" s="536"/>
      <c r="AT37" s="536"/>
      <c r="AU37" s="536"/>
      <c r="AV37" s="536"/>
      <c r="AW37" s="536"/>
      <c r="AX37" s="536"/>
      <c r="AY37" s="536"/>
      <c r="AZ37" s="536"/>
      <c r="BA37" s="536"/>
      <c r="BB37" s="536"/>
      <c r="BC37" s="536"/>
      <c r="BD37" s="536"/>
      <c r="BE37" s="536"/>
      <c r="BF37" s="536"/>
      <c r="BG37" s="536"/>
      <c r="BH37" s="536"/>
      <c r="BI37" s="536"/>
    </row>
    <row r="38" spans="1:61" s="185" customFormat="1" ht="15" customHeight="1" x14ac:dyDescent="0.2">
      <c r="A38" s="463" t="s">
        <v>27</v>
      </c>
      <c r="B38" s="481" t="s">
        <v>5</v>
      </c>
      <c r="C38" s="484">
        <v>12</v>
      </c>
      <c r="D38" s="834">
        <v>16</v>
      </c>
      <c r="E38" s="483">
        <v>11</v>
      </c>
      <c r="F38" s="483">
        <v>12</v>
      </c>
      <c r="G38" s="483">
        <v>11</v>
      </c>
      <c r="H38" s="483">
        <v>11</v>
      </c>
      <c r="I38" s="483">
        <v>11</v>
      </c>
      <c r="J38" s="483">
        <v>6</v>
      </c>
      <c r="K38" s="950">
        <v>17</v>
      </c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</row>
    <row r="39" spans="1:61" s="185" customFormat="1" ht="15" customHeight="1" x14ac:dyDescent="0.2">
      <c r="A39" s="466" t="s">
        <v>28</v>
      </c>
      <c r="B39" s="486" t="s">
        <v>5</v>
      </c>
      <c r="C39" s="488">
        <v>12</v>
      </c>
      <c r="D39" s="487">
        <v>15</v>
      </c>
      <c r="E39" s="488">
        <v>11</v>
      </c>
      <c r="F39" s="488">
        <v>12</v>
      </c>
      <c r="G39" s="488">
        <v>12</v>
      </c>
      <c r="H39" s="488">
        <v>11</v>
      </c>
      <c r="I39" s="488">
        <v>11</v>
      </c>
      <c r="J39" s="488">
        <v>6</v>
      </c>
      <c r="K39" s="951">
        <v>16</v>
      </c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</row>
    <row r="40" spans="1:61" s="185" customFormat="1" ht="15" customHeight="1" thickBot="1" x14ac:dyDescent="0.25">
      <c r="A40" s="493" t="s">
        <v>29</v>
      </c>
      <c r="B40" s="495" t="s">
        <v>5</v>
      </c>
      <c r="C40" s="496">
        <v>12</v>
      </c>
      <c r="D40" s="498">
        <v>14</v>
      </c>
      <c r="E40" s="496">
        <v>10</v>
      </c>
      <c r="F40" s="496">
        <v>10</v>
      </c>
      <c r="G40" s="496">
        <v>11</v>
      </c>
      <c r="H40" s="496">
        <v>10</v>
      </c>
      <c r="I40" s="496">
        <v>10</v>
      </c>
      <c r="J40" s="496">
        <v>6</v>
      </c>
      <c r="K40" s="952">
        <v>15</v>
      </c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</row>
    <row r="41" spans="1:61" x14ac:dyDescent="0.2">
      <c r="K41" s="95"/>
    </row>
    <row r="42" spans="1:61" x14ac:dyDescent="0.2">
      <c r="A42" s="1" t="s">
        <v>63</v>
      </c>
      <c r="B42" s="2"/>
      <c r="D42" s="91"/>
      <c r="G42" s="91"/>
      <c r="H42" s="91"/>
      <c r="J42" s="91"/>
      <c r="K42" s="91"/>
    </row>
    <row r="43" spans="1:61" x14ac:dyDescent="0.2">
      <c r="A43" s="807" t="s">
        <v>366</v>
      </c>
      <c r="B43" s="2"/>
      <c r="D43" s="91"/>
      <c r="G43" s="91"/>
      <c r="H43" s="91"/>
      <c r="J43" s="91"/>
      <c r="K43" s="91"/>
    </row>
    <row r="44" spans="1:61" x14ac:dyDescent="0.2">
      <c r="A44" s="1" t="s">
        <v>61</v>
      </c>
      <c r="B44" s="2"/>
      <c r="D44" s="91"/>
      <c r="G44" s="91"/>
      <c r="H44" s="91"/>
      <c r="J44" s="91"/>
      <c r="K44" s="91"/>
    </row>
    <row r="45" spans="1:61" x14ac:dyDescent="0.2">
      <c r="A45" s="1" t="s">
        <v>62</v>
      </c>
      <c r="B45" s="2"/>
      <c r="D45" s="91"/>
      <c r="G45" s="91"/>
      <c r="H45" s="91"/>
      <c r="J45" s="91"/>
      <c r="K45" s="91"/>
    </row>
    <row r="46" spans="1:61" x14ac:dyDescent="0.2">
      <c r="A46" s="6" t="s">
        <v>64</v>
      </c>
      <c r="B46" s="103"/>
      <c r="K46" s="95"/>
    </row>
    <row r="47" spans="1:61" x14ac:dyDescent="0.2">
      <c r="A47" s="18" t="s">
        <v>112</v>
      </c>
      <c r="K47" s="95"/>
    </row>
    <row r="48" spans="1:61" x14ac:dyDescent="0.2">
      <c r="K48" s="95"/>
    </row>
    <row r="49" spans="2:11" x14ac:dyDescent="0.2">
      <c r="C49" s="526"/>
      <c r="K49" s="95"/>
    </row>
    <row r="50" spans="2:11" x14ac:dyDescent="0.2">
      <c r="B50" s="453" t="s">
        <v>1</v>
      </c>
      <c r="C50" s="1278" t="s">
        <v>367</v>
      </c>
      <c r="K50" s="95"/>
    </row>
    <row r="51" spans="2:11" x14ac:dyDescent="0.2">
      <c r="B51" s="453" t="s">
        <v>4</v>
      </c>
      <c r="C51" s="1278" t="s">
        <v>368</v>
      </c>
      <c r="K51" s="95"/>
    </row>
    <row r="52" spans="2:11" x14ac:dyDescent="0.2">
      <c r="B52" s="453" t="s">
        <v>2</v>
      </c>
      <c r="C52" s="1278" t="s">
        <v>369</v>
      </c>
      <c r="K52" s="95"/>
    </row>
    <row r="53" spans="2:11" x14ac:dyDescent="0.2">
      <c r="B53" s="453" t="s">
        <v>3</v>
      </c>
      <c r="C53" s="1278" t="s">
        <v>370</v>
      </c>
      <c r="K53" s="95"/>
    </row>
    <row r="54" spans="2:11" x14ac:dyDescent="0.2">
      <c r="K54" s="95"/>
    </row>
    <row r="55" spans="2:11" x14ac:dyDescent="0.2">
      <c r="K55" s="95"/>
    </row>
    <row r="56" spans="2:11" x14ac:dyDescent="0.2">
      <c r="K56" s="95"/>
    </row>
    <row r="57" spans="2:11" x14ac:dyDescent="0.2">
      <c r="K57" s="95"/>
    </row>
    <row r="58" spans="2:11" x14ac:dyDescent="0.2">
      <c r="K58" s="95"/>
    </row>
    <row r="59" spans="2:11" x14ac:dyDescent="0.2">
      <c r="K59" s="95"/>
    </row>
    <row r="60" spans="2:11" x14ac:dyDescent="0.2">
      <c r="K60" s="95"/>
    </row>
    <row r="61" spans="2:11" x14ac:dyDescent="0.2">
      <c r="K61" s="95"/>
    </row>
    <row r="62" spans="2:11" x14ac:dyDescent="0.2">
      <c r="K62" s="95"/>
    </row>
    <row r="63" spans="2:11" x14ac:dyDescent="0.2">
      <c r="K63" s="95"/>
    </row>
    <row r="64" spans="2:11" x14ac:dyDescent="0.2">
      <c r="K64" s="95"/>
    </row>
    <row r="65" spans="11:11" x14ac:dyDescent="0.2">
      <c r="K65" s="95"/>
    </row>
    <row r="66" spans="11:11" x14ac:dyDescent="0.2">
      <c r="K66" s="95"/>
    </row>
    <row r="67" spans="11:11" x14ac:dyDescent="0.2">
      <c r="K67" s="95"/>
    </row>
    <row r="68" spans="11:11" x14ac:dyDescent="0.2">
      <c r="K68" s="95"/>
    </row>
    <row r="69" spans="11:11" x14ac:dyDescent="0.2">
      <c r="K69" s="95"/>
    </row>
    <row r="70" spans="11:11" x14ac:dyDescent="0.2">
      <c r="K70" s="95"/>
    </row>
    <row r="71" spans="11:11" x14ac:dyDescent="0.2">
      <c r="K71" s="95"/>
    </row>
    <row r="72" spans="11:11" x14ac:dyDescent="0.2">
      <c r="K72" s="95"/>
    </row>
    <row r="73" spans="11:11" x14ac:dyDescent="0.2">
      <c r="K73" s="95"/>
    </row>
    <row r="74" spans="11:11" x14ac:dyDescent="0.2">
      <c r="K74" s="95"/>
    </row>
    <row r="75" spans="11:11" x14ac:dyDescent="0.2">
      <c r="K75" s="95"/>
    </row>
    <row r="76" spans="11:11" x14ac:dyDescent="0.2">
      <c r="K76" s="95"/>
    </row>
    <row r="77" spans="11:11" x14ac:dyDescent="0.2">
      <c r="K77" s="95"/>
    </row>
    <row r="78" spans="11:11" x14ac:dyDescent="0.2">
      <c r="K78" s="95"/>
    </row>
    <row r="79" spans="11:11" x14ac:dyDescent="0.2">
      <c r="K79" s="95"/>
    </row>
    <row r="80" spans="11:11" x14ac:dyDescent="0.2">
      <c r="K80" s="95"/>
    </row>
    <row r="81" spans="11:11" x14ac:dyDescent="0.2">
      <c r="K81" s="95"/>
    </row>
    <row r="82" spans="11:11" x14ac:dyDescent="0.2">
      <c r="K82" s="95"/>
    </row>
    <row r="83" spans="11:11" x14ac:dyDescent="0.2">
      <c r="K83" s="95"/>
    </row>
    <row r="84" spans="11:11" x14ac:dyDescent="0.2">
      <c r="K84" s="95"/>
    </row>
    <row r="85" spans="11:11" x14ac:dyDescent="0.2">
      <c r="K85" s="95"/>
    </row>
    <row r="86" spans="11:11" x14ac:dyDescent="0.2">
      <c r="K86" s="95"/>
    </row>
    <row r="87" spans="11:11" x14ac:dyDescent="0.2">
      <c r="K87" s="95"/>
    </row>
    <row r="88" spans="11:11" x14ac:dyDescent="0.2">
      <c r="K88" s="95"/>
    </row>
    <row r="89" spans="11:11" x14ac:dyDescent="0.2">
      <c r="K89" s="95"/>
    </row>
    <row r="90" spans="11:11" x14ac:dyDescent="0.2">
      <c r="K90" s="95"/>
    </row>
    <row r="91" spans="11:11" x14ac:dyDescent="0.2">
      <c r="K91" s="95"/>
    </row>
    <row r="92" spans="11:11" x14ac:dyDescent="0.2">
      <c r="K92" s="95"/>
    </row>
    <row r="93" spans="11:11" x14ac:dyDescent="0.2">
      <c r="K93" s="95"/>
    </row>
    <row r="94" spans="11:11" x14ac:dyDescent="0.2">
      <c r="K94" s="95"/>
    </row>
    <row r="95" spans="11:11" x14ac:dyDescent="0.2">
      <c r="K95" s="95"/>
    </row>
    <row r="96" spans="11:11" x14ac:dyDescent="0.2">
      <c r="K96" s="95"/>
    </row>
    <row r="97" spans="11:11" x14ac:dyDescent="0.2">
      <c r="K97" s="95"/>
    </row>
    <row r="98" spans="11:11" x14ac:dyDescent="0.2">
      <c r="K98" s="95"/>
    </row>
    <row r="99" spans="11:11" x14ac:dyDescent="0.2">
      <c r="K99" s="95"/>
    </row>
    <row r="100" spans="11:11" x14ac:dyDescent="0.2">
      <c r="K100" s="95"/>
    </row>
    <row r="101" spans="11:11" x14ac:dyDescent="0.2">
      <c r="K101" s="95"/>
    </row>
    <row r="102" spans="11:11" x14ac:dyDescent="0.2">
      <c r="K102" s="95"/>
    </row>
    <row r="103" spans="11:11" x14ac:dyDescent="0.2">
      <c r="K103" s="95"/>
    </row>
    <row r="104" spans="11:11" x14ac:dyDescent="0.2">
      <c r="K104" s="95"/>
    </row>
    <row r="105" spans="11:11" x14ac:dyDescent="0.2">
      <c r="K105" s="95"/>
    </row>
    <row r="106" spans="11:11" x14ac:dyDescent="0.2">
      <c r="K106" s="95"/>
    </row>
    <row r="107" spans="11:11" x14ac:dyDescent="0.2">
      <c r="K107" s="95"/>
    </row>
    <row r="108" spans="11:11" x14ac:dyDescent="0.2">
      <c r="K108" s="95"/>
    </row>
    <row r="109" spans="11:11" x14ac:dyDescent="0.2">
      <c r="K109" s="95"/>
    </row>
    <row r="110" spans="11:11" x14ac:dyDescent="0.2">
      <c r="K110" s="95"/>
    </row>
    <row r="111" spans="11:11" x14ac:dyDescent="0.2">
      <c r="K111" s="95"/>
    </row>
    <row r="112" spans="11:11" x14ac:dyDescent="0.2">
      <c r="K112" s="95"/>
    </row>
    <row r="113" spans="11:11" x14ac:dyDescent="0.2">
      <c r="K113" s="95"/>
    </row>
    <row r="114" spans="11:11" x14ac:dyDescent="0.2">
      <c r="K114" s="95"/>
    </row>
    <row r="115" spans="11:11" x14ac:dyDescent="0.2">
      <c r="K115" s="95"/>
    </row>
    <row r="116" spans="11:11" x14ac:dyDescent="0.2">
      <c r="K116" s="95"/>
    </row>
    <row r="117" spans="11:11" x14ac:dyDescent="0.2">
      <c r="K117" s="95"/>
    </row>
    <row r="118" spans="11:11" x14ac:dyDescent="0.2">
      <c r="K118" s="95"/>
    </row>
    <row r="119" spans="11:11" x14ac:dyDescent="0.2">
      <c r="K119" s="95"/>
    </row>
    <row r="120" spans="11:11" x14ac:dyDescent="0.2">
      <c r="K120" s="95"/>
    </row>
    <row r="121" spans="11:11" x14ac:dyDescent="0.2">
      <c r="K121" s="95"/>
    </row>
    <row r="122" spans="11:11" x14ac:dyDescent="0.2">
      <c r="K122" s="95"/>
    </row>
    <row r="123" spans="11:11" x14ac:dyDescent="0.2">
      <c r="K123" s="95"/>
    </row>
    <row r="124" spans="11:11" x14ac:dyDescent="0.2">
      <c r="K124" s="95"/>
    </row>
    <row r="125" spans="11:11" x14ac:dyDescent="0.2">
      <c r="K125" s="95"/>
    </row>
    <row r="126" spans="11:11" x14ac:dyDescent="0.2">
      <c r="K126" s="95"/>
    </row>
    <row r="127" spans="11:11" x14ac:dyDescent="0.2">
      <c r="K127" s="95"/>
    </row>
    <row r="128" spans="11:11" x14ac:dyDescent="0.2">
      <c r="K128" s="95"/>
    </row>
    <row r="129" spans="11:11" x14ac:dyDescent="0.2">
      <c r="K129" s="95"/>
    </row>
    <row r="130" spans="11:11" x14ac:dyDescent="0.2">
      <c r="K130" s="95"/>
    </row>
    <row r="131" spans="11:11" x14ac:dyDescent="0.2">
      <c r="K131" s="95"/>
    </row>
    <row r="132" spans="11:11" x14ac:dyDescent="0.2">
      <c r="K132" s="95"/>
    </row>
    <row r="133" spans="11:11" x14ac:dyDescent="0.2">
      <c r="K133" s="95"/>
    </row>
    <row r="134" spans="11:11" x14ac:dyDescent="0.2">
      <c r="K134" s="95"/>
    </row>
    <row r="135" spans="11:11" x14ac:dyDescent="0.2">
      <c r="K135" s="95"/>
    </row>
    <row r="136" spans="11:11" x14ac:dyDescent="0.2">
      <c r="K136" s="95"/>
    </row>
    <row r="137" spans="11:11" x14ac:dyDescent="0.2">
      <c r="K137" s="95"/>
    </row>
    <row r="138" spans="11:11" x14ac:dyDescent="0.2">
      <c r="K138" s="95"/>
    </row>
    <row r="139" spans="11:11" x14ac:dyDescent="0.2">
      <c r="K139" s="95"/>
    </row>
    <row r="140" spans="11:11" x14ac:dyDescent="0.2">
      <c r="K140" s="95"/>
    </row>
    <row r="141" spans="11:11" x14ac:dyDescent="0.2">
      <c r="K141" s="95"/>
    </row>
    <row r="142" spans="11:11" x14ac:dyDescent="0.2">
      <c r="K142" s="95"/>
    </row>
    <row r="143" spans="11:11" x14ac:dyDescent="0.2">
      <c r="K143" s="95"/>
    </row>
    <row r="144" spans="11:11" x14ac:dyDescent="0.2">
      <c r="K144" s="95"/>
    </row>
    <row r="145" spans="11:11" x14ac:dyDescent="0.2">
      <c r="K145" s="95"/>
    </row>
    <row r="146" spans="11:11" x14ac:dyDescent="0.2">
      <c r="K146" s="95"/>
    </row>
    <row r="147" spans="11:11" x14ac:dyDescent="0.2">
      <c r="K147" s="95"/>
    </row>
    <row r="148" spans="11:11" x14ac:dyDescent="0.2">
      <c r="K148" s="95"/>
    </row>
    <row r="149" spans="11:11" x14ac:dyDescent="0.2">
      <c r="K149" s="95"/>
    </row>
    <row r="150" spans="11:11" x14ac:dyDescent="0.2">
      <c r="K150" s="95"/>
    </row>
    <row r="151" spans="11:11" x14ac:dyDescent="0.2">
      <c r="K151" s="95"/>
    </row>
    <row r="152" spans="11:11" x14ac:dyDescent="0.2">
      <c r="K152" s="95"/>
    </row>
    <row r="153" spans="11:11" x14ac:dyDescent="0.2">
      <c r="K153" s="95"/>
    </row>
    <row r="154" spans="11:11" x14ac:dyDescent="0.2">
      <c r="K154" s="95"/>
    </row>
    <row r="155" spans="11:11" x14ac:dyDescent="0.2">
      <c r="K155" s="95"/>
    </row>
    <row r="156" spans="11:11" x14ac:dyDescent="0.2">
      <c r="K156" s="95"/>
    </row>
    <row r="157" spans="11:11" x14ac:dyDescent="0.2">
      <c r="K157" s="95"/>
    </row>
    <row r="158" spans="11:11" x14ac:dyDescent="0.2">
      <c r="K158" s="95"/>
    </row>
    <row r="159" spans="11:11" x14ac:dyDescent="0.2">
      <c r="K159" s="95"/>
    </row>
    <row r="160" spans="11:11" x14ac:dyDescent="0.2">
      <c r="K160" s="95"/>
    </row>
    <row r="161" spans="11:11" x14ac:dyDescent="0.2">
      <c r="K161" s="95"/>
    </row>
    <row r="162" spans="11:11" x14ac:dyDescent="0.2">
      <c r="K162" s="95"/>
    </row>
    <row r="163" spans="11:11" x14ac:dyDescent="0.2">
      <c r="K163" s="95"/>
    </row>
    <row r="164" spans="11:11" x14ac:dyDescent="0.2">
      <c r="K164" s="95"/>
    </row>
    <row r="165" spans="11:11" x14ac:dyDescent="0.2">
      <c r="K165" s="95"/>
    </row>
    <row r="166" spans="11:11" x14ac:dyDescent="0.2">
      <c r="K166" s="95"/>
    </row>
    <row r="167" spans="11:11" x14ac:dyDescent="0.2">
      <c r="K167" s="95"/>
    </row>
    <row r="168" spans="11:11" x14ac:dyDescent="0.2">
      <c r="K168" s="95"/>
    </row>
    <row r="169" spans="11:11" x14ac:dyDescent="0.2">
      <c r="K169" s="95"/>
    </row>
    <row r="170" spans="11:11" x14ac:dyDescent="0.2">
      <c r="K170" s="95"/>
    </row>
    <row r="171" spans="11:11" x14ac:dyDescent="0.2">
      <c r="K171" s="95"/>
    </row>
    <row r="172" spans="11:11" x14ac:dyDescent="0.2">
      <c r="K172" s="95"/>
    </row>
    <row r="173" spans="11:11" x14ac:dyDescent="0.2">
      <c r="K173" s="95"/>
    </row>
    <row r="174" spans="11:11" x14ac:dyDescent="0.2">
      <c r="K174" s="95"/>
    </row>
    <row r="175" spans="11:11" x14ac:dyDescent="0.2">
      <c r="K175" s="95"/>
    </row>
    <row r="176" spans="11:11" x14ac:dyDescent="0.2">
      <c r="K176" s="95"/>
    </row>
    <row r="177" spans="11:11" x14ac:dyDescent="0.2">
      <c r="K177" s="95"/>
    </row>
    <row r="178" spans="11:11" x14ac:dyDescent="0.2">
      <c r="K178" s="95"/>
    </row>
    <row r="179" spans="11:11" x14ac:dyDescent="0.2">
      <c r="K179" s="95"/>
    </row>
    <row r="180" spans="11:11" x14ac:dyDescent="0.2">
      <c r="K180" s="95"/>
    </row>
    <row r="181" spans="11:11" x14ac:dyDescent="0.2">
      <c r="K181" s="95"/>
    </row>
    <row r="182" spans="11:11" x14ac:dyDescent="0.2">
      <c r="K182" s="95"/>
    </row>
    <row r="183" spans="11:11" x14ac:dyDescent="0.2">
      <c r="K183" s="95"/>
    </row>
    <row r="184" spans="11:11" x14ac:dyDescent="0.2">
      <c r="K184" s="95"/>
    </row>
    <row r="185" spans="11:11" x14ac:dyDescent="0.2">
      <c r="K185" s="95"/>
    </row>
    <row r="186" spans="11:11" x14ac:dyDescent="0.2">
      <c r="K186" s="95"/>
    </row>
    <row r="187" spans="11:11" x14ac:dyDescent="0.2">
      <c r="K187" s="95"/>
    </row>
    <row r="188" spans="11:11" x14ac:dyDescent="0.2">
      <c r="K188" s="95"/>
    </row>
    <row r="189" spans="11:11" x14ac:dyDescent="0.2">
      <c r="K189" s="95"/>
    </row>
    <row r="190" spans="11:11" x14ac:dyDescent="0.2">
      <c r="K190" s="95"/>
    </row>
    <row r="191" spans="11:11" x14ac:dyDescent="0.2">
      <c r="K191" s="95"/>
    </row>
    <row r="192" spans="11:11" x14ac:dyDescent="0.2">
      <c r="K192" s="95"/>
    </row>
    <row r="193" spans="11:11" x14ac:dyDescent="0.2">
      <c r="K193" s="95"/>
    </row>
    <row r="194" spans="11:11" x14ac:dyDescent="0.2">
      <c r="K194" s="95"/>
    </row>
    <row r="195" spans="11:11" x14ac:dyDescent="0.2">
      <c r="K195" s="95"/>
    </row>
    <row r="196" spans="11:11" x14ac:dyDescent="0.2">
      <c r="K196" s="95"/>
    </row>
    <row r="197" spans="11:11" x14ac:dyDescent="0.2">
      <c r="K197" s="95"/>
    </row>
    <row r="198" spans="11:11" x14ac:dyDescent="0.2">
      <c r="K198" s="95"/>
    </row>
    <row r="199" spans="11:11" x14ac:dyDescent="0.2">
      <c r="K199" s="95"/>
    </row>
    <row r="200" spans="11:11" x14ac:dyDescent="0.2">
      <c r="K200" s="95"/>
    </row>
    <row r="201" spans="11:11" x14ac:dyDescent="0.2">
      <c r="K201" s="95"/>
    </row>
    <row r="202" spans="11:11" x14ac:dyDescent="0.2">
      <c r="K202" s="95"/>
    </row>
    <row r="203" spans="11:11" x14ac:dyDescent="0.2">
      <c r="K203" s="95"/>
    </row>
    <row r="204" spans="11:11" x14ac:dyDescent="0.2">
      <c r="K204" s="95"/>
    </row>
    <row r="205" spans="11:11" x14ac:dyDescent="0.2">
      <c r="K205" s="95"/>
    </row>
    <row r="206" spans="11:11" x14ac:dyDescent="0.2">
      <c r="K206" s="95"/>
    </row>
    <row r="207" spans="11:11" x14ac:dyDescent="0.2">
      <c r="K207" s="95"/>
    </row>
    <row r="208" spans="11:11" x14ac:dyDescent="0.2">
      <c r="K208" s="95"/>
    </row>
    <row r="209" spans="11:11" x14ac:dyDescent="0.2">
      <c r="K209" s="95"/>
    </row>
    <row r="210" spans="11:11" x14ac:dyDescent="0.2">
      <c r="K210" s="95"/>
    </row>
    <row r="211" spans="11:11" x14ac:dyDescent="0.2">
      <c r="K211" s="95"/>
    </row>
    <row r="212" spans="11:11" x14ac:dyDescent="0.2">
      <c r="K212" s="95"/>
    </row>
    <row r="213" spans="11:11" x14ac:dyDescent="0.2">
      <c r="K213" s="95"/>
    </row>
    <row r="214" spans="11:11" x14ac:dyDescent="0.2">
      <c r="K214" s="95"/>
    </row>
    <row r="215" spans="11:11" x14ac:dyDescent="0.2">
      <c r="K215" s="95"/>
    </row>
    <row r="216" spans="11:11" x14ac:dyDescent="0.2">
      <c r="K216" s="95"/>
    </row>
    <row r="217" spans="11:11" x14ac:dyDescent="0.2">
      <c r="K217" s="95"/>
    </row>
    <row r="218" spans="11:11" x14ac:dyDescent="0.2">
      <c r="K218" s="95"/>
    </row>
    <row r="219" spans="11:11" x14ac:dyDescent="0.2">
      <c r="K219" s="95"/>
    </row>
    <row r="220" spans="11:11" x14ac:dyDescent="0.2">
      <c r="K220" s="95"/>
    </row>
    <row r="221" spans="11:11" x14ac:dyDescent="0.2">
      <c r="K221" s="95"/>
    </row>
    <row r="222" spans="11:11" x14ac:dyDescent="0.2">
      <c r="K222" s="95"/>
    </row>
    <row r="223" spans="11:11" x14ac:dyDescent="0.2">
      <c r="K223" s="95"/>
    </row>
    <row r="224" spans="11:11" x14ac:dyDescent="0.2">
      <c r="K224" s="95"/>
    </row>
    <row r="225" spans="11:11" x14ac:dyDescent="0.2">
      <c r="K225" s="95"/>
    </row>
    <row r="226" spans="11:11" x14ac:dyDescent="0.2">
      <c r="K226" s="95"/>
    </row>
    <row r="227" spans="11:11" x14ac:dyDescent="0.2">
      <c r="K227" s="95"/>
    </row>
    <row r="228" spans="11:11" x14ac:dyDescent="0.2">
      <c r="K228" s="95"/>
    </row>
    <row r="229" spans="11:11" x14ac:dyDescent="0.2">
      <c r="K229" s="95"/>
    </row>
    <row r="230" spans="11:11" x14ac:dyDescent="0.2">
      <c r="K230" s="95"/>
    </row>
    <row r="231" spans="11:11" x14ac:dyDescent="0.2">
      <c r="K231" s="95"/>
    </row>
    <row r="232" spans="11:11" x14ac:dyDescent="0.2">
      <c r="K232" s="95"/>
    </row>
    <row r="233" spans="11:11" x14ac:dyDescent="0.2">
      <c r="K233" s="95"/>
    </row>
    <row r="234" spans="11:11" x14ac:dyDescent="0.2">
      <c r="K234" s="95"/>
    </row>
    <row r="235" spans="11:11" x14ac:dyDescent="0.2">
      <c r="K235" s="95"/>
    </row>
    <row r="236" spans="11:11" x14ac:dyDescent="0.2">
      <c r="K236" s="95"/>
    </row>
    <row r="237" spans="11:11" x14ac:dyDescent="0.2">
      <c r="K237" s="95"/>
    </row>
    <row r="238" spans="11:11" x14ac:dyDescent="0.2">
      <c r="K238" s="95"/>
    </row>
    <row r="239" spans="11:11" x14ac:dyDescent="0.2">
      <c r="K239" s="95"/>
    </row>
    <row r="240" spans="11:11" x14ac:dyDescent="0.2">
      <c r="K240" s="95"/>
    </row>
    <row r="241" spans="11:11" x14ac:dyDescent="0.2">
      <c r="K241" s="95"/>
    </row>
    <row r="242" spans="11:11" x14ac:dyDescent="0.2">
      <c r="K242" s="95"/>
    </row>
    <row r="243" spans="11:11" x14ac:dyDescent="0.2">
      <c r="K243" s="95"/>
    </row>
    <row r="244" spans="11:11" x14ac:dyDescent="0.2">
      <c r="K244" s="95"/>
    </row>
    <row r="245" spans="11:11" x14ac:dyDescent="0.2">
      <c r="K245" s="95"/>
    </row>
    <row r="246" spans="11:11" x14ac:dyDescent="0.2">
      <c r="K246" s="95"/>
    </row>
    <row r="247" spans="11:11" x14ac:dyDescent="0.2">
      <c r="K247" s="95"/>
    </row>
    <row r="248" spans="11:11" x14ac:dyDescent="0.2">
      <c r="K248" s="95"/>
    </row>
    <row r="249" spans="11:11" x14ac:dyDescent="0.2">
      <c r="K249" s="95"/>
    </row>
    <row r="250" spans="11:11" x14ac:dyDescent="0.2">
      <c r="K250" s="95"/>
    </row>
    <row r="251" spans="11:11" x14ac:dyDescent="0.2">
      <c r="K251" s="95"/>
    </row>
  </sheetData>
  <phoneticPr fontId="5" type="noConversion"/>
  <printOptions horizontalCentered="1" verticalCentered="1"/>
  <pageMargins left="0.39370078740157483" right="0.39370078740157483" top="0.39370078740157483" bottom="0.39370078740157483" header="0.31496062992125984" footer="0.11811023622047245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EPRG</vt:lpstr>
      <vt:lpstr> IPRG DIP</vt:lpstr>
      <vt:lpstr>IPRG TET</vt:lpstr>
      <vt:lpstr> LPRG DIP</vt:lpstr>
      <vt:lpstr>LPRG TET</vt:lpstr>
      <vt:lpstr>IRG DIP</vt:lpstr>
      <vt:lpstr>IRG TET</vt:lpstr>
      <vt:lpstr>HRG</vt:lpstr>
      <vt:lpstr>TIM</vt:lpstr>
      <vt:lpstr>WC</vt:lpstr>
      <vt:lpstr>RC</vt:lpstr>
      <vt:lpstr>LU</vt:lpstr>
      <vt:lpstr>CFT</vt:lpstr>
      <vt:lpstr>' IPRG DIP'!Print_Area</vt:lpstr>
      <vt:lpstr>' LPRG DIP'!Print_Area</vt:lpstr>
      <vt:lpstr>EPRG!Print_Area</vt:lpstr>
      <vt:lpstr>HRG!Print_Area</vt:lpstr>
      <vt:lpstr>'IPRG TET'!Print_Area</vt:lpstr>
      <vt:lpstr>'IRG DIP'!Print_Area</vt:lpstr>
      <vt:lpstr>'LPRG TET'!Print_Area</vt:lpstr>
      <vt:lpstr>TIM!Print_Area</vt:lpstr>
      <vt:lpstr>WC!Print_Area</vt:lpstr>
      <vt:lpstr>'IRG DIP'!Print_Titles</vt:lpstr>
      <vt:lpstr>WC!Print_Titles</vt:lpstr>
    </vt:vector>
  </TitlesOfParts>
  <Company>NIAB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</dc:creator>
  <cp:lastModifiedBy>Chloe McKee</cp:lastModifiedBy>
  <cp:lastPrinted>2020-01-21T12:25:53Z</cp:lastPrinted>
  <dcterms:created xsi:type="dcterms:W3CDTF">2009-03-05T08:43:59Z</dcterms:created>
  <dcterms:modified xsi:type="dcterms:W3CDTF">2021-05-13T12:12:07Z</dcterms:modified>
</cp:coreProperties>
</file>