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eec\OneDrive - AHDB\Documents\RGCL\2021\"/>
    </mc:Choice>
  </mc:AlternateContent>
  <bookViews>
    <workbookView xWindow="13395" yWindow="4815" windowWidth="15375" windowHeight="6270" tabRatio="772"/>
  </bookViews>
  <sheets>
    <sheet name="Summary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5" i="12" l="1"/>
  <c r="H184" i="12"/>
  <c r="H183" i="12"/>
  <c r="H182" i="12"/>
  <c r="H181" i="12"/>
  <c r="H180" i="12"/>
  <c r="H179" i="12"/>
  <c r="H178" i="12"/>
  <c r="H177" i="12"/>
  <c r="F185" i="12"/>
  <c r="F184" i="12"/>
  <c r="F183" i="12"/>
  <c r="F182" i="12"/>
  <c r="F181" i="12"/>
  <c r="F180" i="12"/>
  <c r="F179" i="12"/>
  <c r="F178" i="12"/>
  <c r="F177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2" i="12"/>
  <c r="F151" i="12"/>
  <c r="F150" i="12"/>
  <c r="F142" i="12"/>
  <c r="F141" i="12"/>
  <c r="F140" i="12"/>
  <c r="F139" i="12"/>
  <c r="F138" i="12"/>
  <c r="F137" i="12"/>
  <c r="F136" i="12"/>
  <c r="F135" i="12"/>
  <c r="F134" i="12"/>
  <c r="F133" i="12"/>
  <c r="F132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H14" i="12"/>
  <c r="H13" i="12"/>
  <c r="H11" i="12"/>
  <c r="H10" i="12"/>
  <c r="H9" i="12"/>
  <c r="H8" i="12"/>
  <c r="F14" i="12"/>
  <c r="F13" i="12"/>
  <c r="F11" i="12"/>
  <c r="F10" i="12"/>
  <c r="F9" i="12"/>
  <c r="F8" i="12"/>
</calcChain>
</file>

<file path=xl/sharedStrings.xml><?xml version="1.0" encoding="utf-8"?>
<sst xmlns="http://schemas.openxmlformats.org/spreadsheetml/2006/main" count="293" uniqueCount="236">
  <si>
    <t>Conservation management</t>
  </si>
  <si>
    <t xml:space="preserve">Presto </t>
  </si>
  <si>
    <t>Comer</t>
  </si>
  <si>
    <t>Dolina</t>
  </si>
  <si>
    <t>Promesse</t>
  </si>
  <si>
    <t>Comtal</t>
  </si>
  <si>
    <t>Winnetou</t>
  </si>
  <si>
    <t>Moverdi</t>
  </si>
  <si>
    <t>Motim</t>
  </si>
  <si>
    <t>AberAce</t>
  </si>
  <si>
    <t>AberHerald</t>
  </si>
  <si>
    <t>AberDai</t>
  </si>
  <si>
    <t>Violin</t>
  </si>
  <si>
    <t>Alice</t>
  </si>
  <si>
    <t>Barblanca</t>
  </si>
  <si>
    <t>Aran</t>
  </si>
  <si>
    <t>Lemmon</t>
  </si>
  <si>
    <t>Merviot</t>
  </si>
  <si>
    <t>AberClaret</t>
  </si>
  <si>
    <t>Iona</t>
  </si>
  <si>
    <t>After light defoliation</t>
  </si>
  <si>
    <t>Harmonie</t>
  </si>
  <si>
    <t xml:space="preserve"> Ground Cover %                  (2nd harvest year)</t>
  </si>
  <si>
    <t>[ ] limited data</t>
  </si>
  <si>
    <t>Buddy</t>
  </si>
  <si>
    <t xml:space="preserve">D-value 
2nd conservation cut                     </t>
  </si>
  <si>
    <t>Diploids</t>
  </si>
  <si>
    <t>Tetraploids</t>
  </si>
  <si>
    <t>Brianna</t>
  </si>
  <si>
    <t>Dublin</t>
  </si>
  <si>
    <t>Metis</t>
  </si>
  <si>
    <t>Discovery</t>
  </si>
  <si>
    <r>
      <rPr>
        <b/>
        <sz val="10"/>
        <color indexed="8"/>
        <rFont val="Arial"/>
        <family val="2"/>
      </rPr>
      <t xml:space="preserve">Ground cover   </t>
    </r>
    <r>
      <rPr>
        <sz val="10"/>
        <color indexed="8"/>
        <rFont val="Arial"/>
        <family val="2"/>
      </rPr>
      <t xml:space="preserve">         (1 = poor,   9 = good)</t>
    </r>
  </si>
  <si>
    <r>
      <rPr>
        <b/>
        <sz val="10"/>
        <rFont val="Arial"/>
        <family val="2"/>
      </rPr>
      <t xml:space="preserve">Drechslera      </t>
    </r>
    <r>
      <rPr>
        <sz val="10"/>
        <rFont val="Arial"/>
        <family val="2"/>
      </rPr>
      <t xml:space="preserve">      (1 = poor,      9 = good)</t>
    </r>
  </si>
  <si>
    <r>
      <t xml:space="preserve">Ground cover         </t>
    </r>
    <r>
      <rPr>
        <sz val="10"/>
        <color indexed="8"/>
        <rFont val="Arial"/>
        <family val="2"/>
      </rPr>
      <t xml:space="preserve">   (1 = poor,   9 = good)</t>
    </r>
  </si>
  <si>
    <r>
      <rPr>
        <b/>
        <sz val="10"/>
        <color indexed="8"/>
        <rFont val="Arial"/>
        <family val="2"/>
      </rPr>
      <t>Mildew resistanc</t>
    </r>
    <r>
      <rPr>
        <sz val="10"/>
        <color indexed="8"/>
        <rFont val="Arial"/>
        <family val="2"/>
      </rPr>
      <t>e (1 = poor,     9 = good)</t>
    </r>
  </si>
  <si>
    <r>
      <rPr>
        <b/>
        <sz val="10"/>
        <color indexed="8"/>
        <rFont val="Arial"/>
        <family val="2"/>
      </rPr>
      <t xml:space="preserve">Ground Cover   </t>
    </r>
    <r>
      <rPr>
        <sz val="10"/>
        <color indexed="8"/>
        <rFont val="Arial"/>
        <family val="2"/>
      </rPr>
      <t xml:space="preserve">        (1 = poor,          9 = good)</t>
    </r>
  </si>
  <si>
    <r>
      <rPr>
        <b/>
        <sz val="10"/>
        <color indexed="8"/>
        <rFont val="Arial"/>
        <family val="2"/>
      </rPr>
      <t xml:space="preserve">D-value 2nd conservation cut   </t>
    </r>
    <r>
      <rPr>
        <sz val="10"/>
        <color indexed="8"/>
        <rFont val="Arial"/>
        <family val="2"/>
      </rPr>
      <t xml:space="preserve">               </t>
    </r>
  </si>
  <si>
    <t>After hard defoliation</t>
  </si>
  <si>
    <t>AberSwan</t>
  </si>
  <si>
    <t>Sinope</t>
  </si>
  <si>
    <t>Fearga</t>
  </si>
  <si>
    <t>Kendal</t>
  </si>
  <si>
    <t>[7.4]</t>
  </si>
  <si>
    <t>Coolfin</t>
  </si>
  <si>
    <r>
      <t xml:space="preserve">D-value
2nd conservation cut       </t>
    </r>
    <r>
      <rPr>
        <sz val="10"/>
        <color theme="1"/>
        <rFont val="Arial"/>
        <family val="2"/>
      </rPr>
      <t xml:space="preserve">               </t>
    </r>
  </si>
  <si>
    <t>Genesis</t>
  </si>
  <si>
    <t>Moyola</t>
  </si>
  <si>
    <t>Kilian</t>
  </si>
  <si>
    <t>Glasker</t>
  </si>
  <si>
    <t>AberTorch</t>
  </si>
  <si>
    <t>Cooky</t>
  </si>
  <si>
    <t>[5.7]</t>
  </si>
  <si>
    <t>-</t>
  </si>
  <si>
    <t>Boyne</t>
  </si>
  <si>
    <t>Galgorm</t>
  </si>
  <si>
    <t>Aston  Conqueror</t>
  </si>
  <si>
    <t>Nifty</t>
  </si>
  <si>
    <t>Moira</t>
  </si>
  <si>
    <t>Glenariff</t>
  </si>
  <si>
    <t>AberZeus</t>
  </si>
  <si>
    <t xml:space="preserve">AberMagic </t>
  </si>
  <si>
    <t>AberWolf</t>
  </si>
  <si>
    <t>Gosford</t>
  </si>
  <si>
    <t>Agaska</t>
  </si>
  <si>
    <t>Elyria</t>
  </si>
  <si>
    <t>AberGreen</t>
  </si>
  <si>
    <t>[5.3]</t>
  </si>
  <si>
    <t>[6.3]</t>
  </si>
  <si>
    <t>Fintona</t>
  </si>
  <si>
    <t xml:space="preserve">Glenstal </t>
  </si>
  <si>
    <t>Seagoe</t>
  </si>
  <si>
    <t>Nolwen</t>
  </si>
  <si>
    <t>AberClyde</t>
  </si>
  <si>
    <t>AstonVision</t>
  </si>
  <si>
    <t>AberSpey</t>
  </si>
  <si>
    <t>Dunluce</t>
  </si>
  <si>
    <t>Caledon</t>
  </si>
  <si>
    <t xml:space="preserve">Diwan </t>
  </si>
  <si>
    <t>Triwarwic</t>
  </si>
  <si>
    <t>Federer</t>
  </si>
  <si>
    <t>Pensel</t>
  </si>
  <si>
    <t xml:space="preserve">Montova </t>
  </si>
  <si>
    <t>AstonEnergy</t>
  </si>
  <si>
    <t>Callan</t>
  </si>
  <si>
    <t>AberTest</t>
  </si>
  <si>
    <t>Ballyvoy</t>
  </si>
  <si>
    <t>Toddington</t>
  </si>
  <si>
    <t>Dundrod</t>
  </si>
  <si>
    <t>AberAvon</t>
  </si>
  <si>
    <t>AstonKing</t>
  </si>
  <si>
    <t>Oakpark</t>
  </si>
  <si>
    <t>Romark</t>
  </si>
  <si>
    <t>Drumbo</t>
  </si>
  <si>
    <t>Glenarm</t>
  </si>
  <si>
    <t>Gleneagle</t>
  </si>
  <si>
    <t>Cavendish</t>
  </si>
  <si>
    <t>Clanrye</t>
  </si>
  <si>
    <t>Timing</t>
  </si>
  <si>
    <t>Smile</t>
  </si>
  <si>
    <t>AberBann</t>
  </si>
  <si>
    <t>AberLee</t>
  </si>
  <si>
    <t>Swan</t>
  </si>
  <si>
    <t>AberChoice</t>
  </si>
  <si>
    <t>Cancan</t>
  </si>
  <si>
    <t>Bowie</t>
  </si>
  <si>
    <t>[3.7]</t>
  </si>
  <si>
    <t>[4.2]</t>
  </si>
  <si>
    <t>[6.8]</t>
  </si>
  <si>
    <t>[6.4]</t>
  </si>
  <si>
    <t>Ballintoy</t>
  </si>
  <si>
    <t>Bijou</t>
  </si>
  <si>
    <t>Gracehill</t>
  </si>
  <si>
    <t>Meiduno</t>
  </si>
  <si>
    <t>Weldone</t>
  </si>
  <si>
    <t>Hurricane</t>
  </si>
  <si>
    <t>Calao</t>
  </si>
  <si>
    <t>Aspect</t>
  </si>
  <si>
    <t>AberGain</t>
  </si>
  <si>
    <t>Nashota</t>
  </si>
  <si>
    <t xml:space="preserve">AberBite </t>
  </si>
  <si>
    <t>Twymax</t>
  </si>
  <si>
    <t>Youpi</t>
  </si>
  <si>
    <t>Thegn</t>
  </si>
  <si>
    <t>Hopi</t>
  </si>
  <si>
    <t>Shakira</t>
  </si>
  <si>
    <t>Syntilla</t>
  </si>
  <si>
    <t>Muriello</t>
  </si>
  <si>
    <t>Meribel</t>
  </si>
  <si>
    <t>Fox</t>
  </si>
  <si>
    <t>Steel</t>
  </si>
  <si>
    <t>Alamo</t>
  </si>
  <si>
    <t>Abys</t>
  </si>
  <si>
    <t>Sendero</t>
  </si>
  <si>
    <t>Melprimo</t>
  </si>
  <si>
    <t>Belluna</t>
  </si>
  <si>
    <t>Davinci</t>
  </si>
  <si>
    <t>Javorio</t>
  </si>
  <si>
    <t>Itarzi</t>
  </si>
  <si>
    <t>Udine</t>
  </si>
  <si>
    <t>Hunter</t>
  </si>
  <si>
    <t>Barmultra II</t>
  </si>
  <si>
    <t>Kigezi 1</t>
  </si>
  <si>
    <t>Gemini</t>
  </si>
  <si>
    <t>Messina</t>
  </si>
  <si>
    <t>Arman</t>
  </si>
  <si>
    <t>Cazzano</t>
  </si>
  <si>
    <t>Barimax</t>
  </si>
  <si>
    <t>[7.9]</t>
  </si>
  <si>
    <t>Pirol</t>
  </si>
  <si>
    <t>Barsilo</t>
  </si>
  <si>
    <t>Barclamp</t>
  </si>
  <si>
    <t>AberEcho</t>
  </si>
  <si>
    <t>Aston                  
Crusader</t>
  </si>
  <si>
    <t xml:space="preserve">Bannfoot      </t>
  </si>
  <si>
    <t>Enduro</t>
  </si>
  <si>
    <t xml:space="preserve">Tetragraze            </t>
  </si>
  <si>
    <t>Novial</t>
  </si>
  <si>
    <t>Perkins</t>
  </si>
  <si>
    <t>Kirial</t>
  </si>
  <si>
    <t>Bahial</t>
  </si>
  <si>
    <t>Amalgam</t>
  </si>
  <si>
    <t>Perseus 
(Fest)</t>
  </si>
  <si>
    <t>AberImage</t>
  </si>
  <si>
    <t>AberNiche(Fest)</t>
  </si>
  <si>
    <t>Baronaise</t>
  </si>
  <si>
    <t>Aber S.184</t>
  </si>
  <si>
    <t>G Bounty</t>
  </si>
  <si>
    <t>AberChianti</t>
  </si>
  <si>
    <t>Convey</t>
  </si>
  <si>
    <t>Early Perennial Ryegrass Varieties 2021/2022</t>
  </si>
  <si>
    <t>Intermediate Perennial Ryegrass Varieties 2021/2022</t>
  </si>
  <si>
    <t>Late Perennial Ryegrass Varieties 2021/2022</t>
  </si>
  <si>
    <t>Italian Ryegrass Varieties 2021/2022</t>
  </si>
  <si>
    <t>Hybrid Ryegrass Varieties 2021/2022</t>
  </si>
  <si>
    <t>Timothy Varieties 2021/2022</t>
  </si>
  <si>
    <t>White Clover Varieties 2021/2022</t>
  </si>
  <si>
    <t>Red Clover Varieties 2021/2022</t>
  </si>
  <si>
    <t>[4.9]</t>
  </si>
  <si>
    <t>AberRoot</t>
  </si>
  <si>
    <t>Ritchie</t>
  </si>
  <si>
    <t>Chatsworth</t>
  </si>
  <si>
    <t>[8.2]</t>
  </si>
  <si>
    <t>[6.1]</t>
  </si>
  <si>
    <t>Wetherby</t>
  </si>
  <si>
    <t>Zorgue</t>
  </si>
  <si>
    <t>Delika</t>
  </si>
  <si>
    <t>[6.5]</t>
  </si>
  <si>
    <t>[5.5]</t>
  </si>
  <si>
    <t>[4.3]</t>
  </si>
  <si>
    <t>[5.6]</t>
  </si>
  <si>
    <t>[9.0]</t>
  </si>
  <si>
    <t>[8.3]</t>
  </si>
  <si>
    <t>[7.7]</t>
  </si>
  <si>
    <t>[6.6]</t>
  </si>
  <si>
    <t>[7.0]</t>
  </si>
  <si>
    <t>[7.2]</t>
  </si>
  <si>
    <t>Melsitra</t>
  </si>
  <si>
    <t>[7.3]</t>
  </si>
  <si>
    <t>AberSheen</t>
  </si>
  <si>
    <t>RGT Cordial</t>
  </si>
  <si>
    <t>Simulated grazing management</t>
  </si>
  <si>
    <r>
      <rPr>
        <b/>
        <sz val="10"/>
        <color indexed="8"/>
        <rFont val="Arial"/>
        <family val="2"/>
      </rPr>
      <t xml:space="preserve">D-value 2nd conservation cut </t>
    </r>
    <r>
      <rPr>
        <sz val="10"/>
        <color indexed="8"/>
        <rFont val="Arial"/>
        <family val="2"/>
      </rPr>
      <t xml:space="preserve">    </t>
    </r>
  </si>
  <si>
    <t>Total yield of Clover</t>
  </si>
  <si>
    <t>Crude protein (% in 1st cut of 1st harvest year)</t>
  </si>
  <si>
    <t>Variety</t>
  </si>
  <si>
    <t>Heading date</t>
  </si>
  <si>
    <t>Total annual yield
(average = 100 at 15.05 t DM/ha)</t>
  </si>
  <si>
    <t>Total annual yield
(average = 100 at 9.81 t DM/ha)</t>
  </si>
  <si>
    <t>Total annual yield 
(average = 100 at 15.16 t DM/ha)</t>
  </si>
  <si>
    <t>Early spring growth (1st harvest year)
(average= 100 at 1.52 t DM/ha)</t>
  </si>
  <si>
    <t>Total annual yield
(average = 100 at 10.06 t DM/ha)</t>
  </si>
  <si>
    <t>Total annual yield
(average = 100 at 13.95 t DM/ha)</t>
  </si>
  <si>
    <t>3rd harvest year 
(average = 100 at 4.25 t DM/ha)</t>
  </si>
  <si>
    <t>3rd harvest year 
(average = 100 at 10.62t DM/ha)</t>
  </si>
  <si>
    <t>Yield of 1st cut in 1st harvest year
(average = 100 at 5.06 t DM/ha)</t>
  </si>
  <si>
    <t>Total annual yield
(average = 100 at 11.91 t DM/ha)</t>
  </si>
  <si>
    <t xml:space="preserve">D-value  Midsummer                   </t>
  </si>
  <si>
    <t xml:space="preserve">D-value Midsummer </t>
  </si>
  <si>
    <t>[ ] = limited data</t>
  </si>
  <si>
    <t>Total annual yield
(average = 100 at 16.53 t DM/ha)</t>
  </si>
  <si>
    <t>Early spring growth (1st harvest year)
(average = 100 at 1.69 t DM/ha)</t>
  </si>
  <si>
    <t>1st Conservation cut (average = 100 at 6.60 t DM/ha)</t>
  </si>
  <si>
    <r>
      <rPr>
        <b/>
        <sz val="10"/>
        <rFont val="Arial"/>
        <family val="2"/>
      </rPr>
      <t>Winter hardiness</t>
    </r>
    <r>
      <rPr>
        <sz val="10"/>
        <rFont val="Arial"/>
        <family val="2"/>
      </rPr>
      <t xml:space="preserve">  (1 = poor,   9 = good)</t>
    </r>
  </si>
  <si>
    <r>
      <t>Leaf area (mm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</si>
  <si>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Total yield of grass + Clover</t>
  </si>
  <si>
    <t>Autumn ground cover               (1 = poor, 9 = good)</t>
  </si>
  <si>
    <t>Amos</t>
  </si>
  <si>
    <t>Maro</t>
  </si>
  <si>
    <t>Atlantis</t>
  </si>
  <si>
    <t>Magellan</t>
  </si>
  <si>
    <t>AberSirius</t>
  </si>
  <si>
    <t>Pinaco</t>
  </si>
  <si>
    <r>
      <rPr>
        <b/>
        <sz val="10"/>
        <color indexed="8"/>
        <rFont val="Arial"/>
        <family val="2"/>
      </rPr>
      <t xml:space="preserve">Crown Rust resistance  </t>
    </r>
    <r>
      <rPr>
        <sz val="10"/>
        <color indexed="8"/>
        <rFont val="Arial"/>
        <family val="2"/>
      </rPr>
      <t xml:space="preserve">     (1 = poor,           9 = good)</t>
    </r>
  </si>
  <si>
    <r>
      <rPr>
        <b/>
        <sz val="10"/>
        <color indexed="8"/>
        <rFont val="Arial"/>
        <family val="2"/>
      </rPr>
      <t xml:space="preserve">Crown Rust resistance          </t>
    </r>
    <r>
      <rPr>
        <sz val="10"/>
        <color indexed="8"/>
        <rFont val="Arial"/>
        <family val="2"/>
      </rPr>
      <t>(1 = poor,    9 = good)</t>
    </r>
  </si>
  <si>
    <r>
      <rPr>
        <b/>
        <sz val="10"/>
        <color indexed="8"/>
        <rFont val="Arial"/>
        <family val="2"/>
      </rPr>
      <t xml:space="preserve">Crown Rust resistance      </t>
    </r>
    <r>
      <rPr>
        <sz val="10"/>
        <color indexed="8"/>
        <rFont val="Arial"/>
        <family val="2"/>
      </rPr>
      <t xml:space="preserve">      (1 = poor,      9 = good)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</si>
</sst>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\-mmm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/>
    <xf numFmtId="49" fontId="0" fillId="0" borderId="0" xfId="0" applyNumberFormat="1"/>
    <xf numFmtId="165" fontId="1" fillId="0" borderId="3" xfId="0" applyNumberFormat="1" applyFont="1" applyFill="1" applyBorder="1" applyAlignment="1" applyProtection="1">
      <alignment horizontal="center" vertical="center"/>
      <protection hidden="1"/>
    </xf>
    <xf numFmtId="1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 applyProtection="1">
      <alignment horizontal="left"/>
      <protection locked="0" hidden="1"/>
    </xf>
    <xf numFmtId="0" fontId="5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/>
    <xf numFmtId="0" fontId="8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2" borderId="0" xfId="0" applyFill="1"/>
    <xf numFmtId="0" fontId="5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" fontId="1" fillId="0" borderId="3" xfId="0" applyNumberFormat="1" applyFont="1" applyFill="1" applyBorder="1" applyAlignment="1" applyProtection="1">
      <alignment horizontal="center" vertical="center"/>
      <protection hidden="1"/>
    </xf>
    <xf numFmtId="16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  <protection locked="0" hidden="1"/>
    </xf>
    <xf numFmtId="164" fontId="1" fillId="0" borderId="3" xfId="0" applyNumberFormat="1" applyFont="1" applyFill="1" applyBorder="1" applyAlignment="1" applyProtection="1">
      <alignment horizontal="center" vertical="center"/>
      <protection locked="0" hidden="1"/>
    </xf>
    <xf numFmtId="164" fontId="1" fillId="0" borderId="3" xfId="0" quotePrefix="1" applyNumberFormat="1" applyFont="1" applyFill="1" applyBorder="1" applyAlignment="1" applyProtection="1">
      <alignment horizontal="center" vertical="center"/>
      <protection locked="0" hidden="1"/>
    </xf>
    <xf numFmtId="164" fontId="1" fillId="0" borderId="3" xfId="0" quotePrefix="1" applyNumberFormat="1" applyFont="1" applyFill="1" applyBorder="1" applyAlignment="1" applyProtection="1">
      <alignment horizontal="center" vertical="center"/>
      <protection hidden="1"/>
    </xf>
    <xf numFmtId="164" fontId="1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>
      <alignment horizontal="center" vertical="center"/>
    </xf>
    <xf numFmtId="165" fontId="1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/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6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left" vertical="center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textRotation="90" wrapText="1"/>
      <protection hidden="1"/>
    </xf>
    <xf numFmtId="0" fontId="5" fillId="0" borderId="3" xfId="0" applyFont="1" applyBorder="1" applyAlignment="1">
      <alignment horizontal="left" wrapText="1"/>
    </xf>
    <xf numFmtId="0" fontId="1" fillId="0" borderId="3" xfId="0" applyNumberFormat="1" applyFont="1" applyFill="1" applyBorder="1" applyAlignment="1" applyProtection="1">
      <alignment horizontal="center" shrinkToFit="1"/>
      <protection hidden="1"/>
    </xf>
    <xf numFmtId="164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0" xfId="0" quotePrefix="1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quotePrefix="1" applyNumberFormat="1" applyFont="1" applyBorder="1" applyAlignment="1">
      <alignment horizontal="center" vertical="center"/>
    </xf>
    <xf numFmtId="164" fontId="1" fillId="0" borderId="3" xfId="0" quotePrefix="1" applyNumberFormat="1" applyFont="1" applyFill="1" applyBorder="1" applyAlignment="1">
      <alignment horizontal="center" vertical="center"/>
    </xf>
    <xf numFmtId="1" fontId="1" fillId="0" borderId="3" xfId="0" quotePrefix="1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/>
      <protection hidden="1"/>
    </xf>
    <xf numFmtId="164" fontId="1" fillId="0" borderId="3" xfId="0" quotePrefix="1" applyNumberFormat="1" applyFont="1" applyBorder="1" applyAlignment="1" applyProtection="1">
      <alignment horizontal="center" vertical="center"/>
      <protection hidden="1"/>
    </xf>
    <xf numFmtId="164" fontId="1" fillId="0" borderId="3" xfId="0" quotePrefix="1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vertical="center"/>
    </xf>
    <xf numFmtId="164" fontId="1" fillId="0" borderId="20" xfId="0" quotePrefix="1" applyNumberFormat="1" applyFont="1" applyBorder="1" applyAlignment="1">
      <alignment horizontal="center" vertical="center"/>
    </xf>
    <xf numFmtId="1" fontId="1" fillId="0" borderId="3" xfId="2" applyNumberFormat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/>
      <protection hidden="1"/>
    </xf>
    <xf numFmtId="0" fontId="1" fillId="0" borderId="4" xfId="0" applyNumberFormat="1" applyFont="1" applyFill="1" applyBorder="1" applyAlignment="1" applyProtection="1">
      <alignment horizontal="center"/>
      <protection hidden="1"/>
    </xf>
    <xf numFmtId="0" fontId="9" fillId="0" borderId="3" xfId="0" applyNumberFormat="1" applyFont="1" applyFill="1" applyBorder="1" applyAlignment="1" applyProtection="1">
      <alignment horizontal="center" shrinkToFit="1"/>
      <protection hidden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1" fillId="3" borderId="3" xfId="0" quotePrefix="1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/>
      <protection locked="0" hidden="1"/>
    </xf>
    <xf numFmtId="164" fontId="1" fillId="0" borderId="3" xfId="0" quotePrefix="1" applyNumberFormat="1" applyFont="1" applyBorder="1" applyAlignment="1" applyProtection="1">
      <alignment horizontal="center" vertical="center"/>
      <protection locked="0" hidden="1"/>
    </xf>
    <xf numFmtId="16" fontId="1" fillId="0" borderId="3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hidden="1"/>
    </xf>
    <xf numFmtId="164" fontId="1" fillId="0" borderId="22" xfId="0" quotePrefix="1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>
      <alignment horizontal="left" wrapText="1"/>
    </xf>
    <xf numFmtId="0" fontId="1" fillId="0" borderId="3" xfId="0" applyFont="1" applyFill="1" applyBorder="1" applyAlignment="1" applyProtection="1">
      <alignment horizontal="center"/>
      <protection hidden="1"/>
    </xf>
    <xf numFmtId="164" fontId="1" fillId="0" borderId="23" xfId="0" applyNumberFormat="1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 wrapText="1"/>
      <protection hidden="1"/>
    </xf>
    <xf numFmtId="164" fontId="1" fillId="0" borderId="24" xfId="0" quotePrefix="1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3" borderId="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9" xfId="0" applyNumberFormat="1" applyFont="1" applyFill="1" applyBorder="1" applyAlignment="1" applyProtection="1">
      <alignment horizontal="center" vertical="center"/>
      <protection hidden="1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165" fontId="7" fillId="3" borderId="9" xfId="0" applyNumberFormat="1" applyFont="1" applyFill="1" applyBorder="1" applyAlignment="1" applyProtection="1">
      <alignment horizontal="center" vertical="center"/>
      <protection hidden="1"/>
    </xf>
    <xf numFmtId="165" fontId="7" fillId="3" borderId="19" xfId="0" applyNumberFormat="1" applyFont="1" applyFill="1" applyBorder="1" applyAlignment="1" applyProtection="1">
      <alignment horizontal="center" vertical="center"/>
      <protection hidden="1"/>
    </xf>
    <xf numFmtId="165" fontId="7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3" borderId="9" xfId="0" applyNumberFormat="1" applyFont="1" applyFill="1" applyBorder="1" applyAlignment="1" applyProtection="1">
      <alignment horizontal="center" vertical="center"/>
      <protection hidden="1"/>
    </xf>
    <xf numFmtId="165" fontId="1" fillId="3" borderId="19" xfId="0" applyNumberFormat="1" applyFont="1" applyFill="1" applyBorder="1" applyAlignment="1" applyProtection="1">
      <alignment horizontal="center" vertical="center"/>
      <protection hidden="1"/>
    </xf>
    <xf numFmtId="165" fontId="1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3" borderId="13" xfId="0" applyNumberFormat="1" applyFont="1" applyFill="1" applyBorder="1" applyAlignment="1" applyProtection="1">
      <alignment horizontal="center" vertical="center"/>
      <protection hidden="1"/>
    </xf>
    <xf numFmtId="165" fontId="1" fillId="3" borderId="7" xfId="0" applyNumberFormat="1" applyFont="1" applyFill="1" applyBorder="1" applyAlignment="1" applyProtection="1">
      <alignment horizontal="center" vertical="center"/>
      <protection hidden="1"/>
    </xf>
    <xf numFmtId="165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7" fillId="3" borderId="13" xfId="0" applyNumberFormat="1" applyFont="1" applyFill="1" applyBorder="1" applyAlignment="1" applyProtection="1">
      <alignment horizontal="center" vertical="center"/>
      <protection hidden="1"/>
    </xf>
    <xf numFmtId="165" fontId="7" fillId="3" borderId="7" xfId="0" applyNumberFormat="1" applyFont="1" applyFill="1" applyBorder="1" applyAlignment="1" applyProtection="1">
      <alignment horizontal="center"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wrapText="1"/>
    </xf>
    <xf numFmtId="0" fontId="1" fillId="0" borderId="17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165" fontId="7" fillId="3" borderId="11" xfId="0" applyNumberFormat="1" applyFont="1" applyFill="1" applyBorder="1" applyAlignment="1" applyProtection="1">
      <alignment horizontal="center" vertical="center"/>
      <protection hidden="1"/>
    </xf>
    <xf numFmtId="165" fontId="7" fillId="3" borderId="5" xfId="0" applyNumberFormat="1" applyFont="1" applyFill="1" applyBorder="1" applyAlignment="1" applyProtection="1">
      <alignment horizontal="center" vertical="center"/>
      <protection hidden="1"/>
    </xf>
    <xf numFmtId="165" fontId="7" fillId="3" borderId="12" xfId="0" applyNumberFormat="1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yony Ennis" id="{D80564BA-F60A-457C-8F38-CAFFC8E3D009}" userId="S::bryony.ennis@ahdb.org.uk::490cd08d-aa5d-4cc3-8857-c5e859ae220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5" dT="2021-03-16T09:20:07.20" personId="{D80564BA-F60A-457C-8F38-CAFFC8E3D009}" id="{9B848385-A269-4997-B731-61B0B8BBE63C}">
    <text>name to be  confirmed by breeder - to check at next draft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8"/>
  <sheetViews>
    <sheetView tabSelected="1" topLeftCell="A7" zoomScale="90" zoomScaleNormal="90" workbookViewId="0">
      <selection activeCell="K201" sqref="K201"/>
    </sheetView>
  </sheetViews>
  <sheetFormatPr defaultRowHeight="15" x14ac:dyDescent="0.25"/>
  <cols>
    <col min="1" max="1" width="4.5703125" customWidth="1"/>
    <col min="2" max="2" width="17.28515625" style="10" customWidth="1"/>
    <col min="3" max="3" width="10.85546875" customWidth="1"/>
    <col min="4" max="4" width="12.28515625" customWidth="1"/>
    <col min="5" max="5" width="13.7109375" customWidth="1"/>
    <col min="6" max="6" width="12.85546875" customWidth="1"/>
    <col min="7" max="7" width="13.7109375" customWidth="1"/>
    <col min="8" max="8" width="14.7109375" style="16" customWidth="1"/>
    <col min="9" max="9" width="10.5703125" style="16" customWidth="1"/>
    <col min="10" max="10" width="11" style="16" customWidth="1"/>
    <col min="11" max="11" width="10.7109375" style="16" customWidth="1"/>
    <col min="12" max="12" width="9.140625" style="16" customWidth="1"/>
    <col min="13" max="13" width="9.28515625" style="16" customWidth="1"/>
    <col min="14" max="37" width="9.140625" style="16" customWidth="1"/>
  </cols>
  <sheetData>
    <row r="1" spans="2:37" ht="18.75" x14ac:dyDescent="0.3">
      <c r="B1" s="40" t="s">
        <v>170</v>
      </c>
    </row>
    <row r="2" spans="2:37" ht="15.75" thickBot="1" x14ac:dyDescent="0.3">
      <c r="AB2"/>
      <c r="AC2"/>
      <c r="AD2"/>
      <c r="AE2"/>
      <c r="AF2"/>
      <c r="AG2"/>
      <c r="AH2"/>
      <c r="AI2"/>
      <c r="AJ2"/>
      <c r="AK2"/>
    </row>
    <row r="3" spans="2:37" ht="15" customHeight="1" x14ac:dyDescent="0.25">
      <c r="B3" s="123" t="s">
        <v>205</v>
      </c>
      <c r="C3" s="101" t="s">
        <v>206</v>
      </c>
      <c r="D3" s="99"/>
      <c r="E3" s="108" t="s">
        <v>201</v>
      </c>
      <c r="F3" s="119"/>
      <c r="G3" s="108" t="s">
        <v>0</v>
      </c>
      <c r="H3" s="119"/>
      <c r="I3" s="101" t="s">
        <v>32</v>
      </c>
      <c r="J3" s="101" t="s">
        <v>235</v>
      </c>
      <c r="K3" s="117" t="s">
        <v>33</v>
      </c>
      <c r="AB3"/>
      <c r="AC3"/>
      <c r="AD3"/>
      <c r="AE3"/>
      <c r="AF3"/>
      <c r="AG3"/>
      <c r="AH3"/>
      <c r="AI3"/>
      <c r="AJ3"/>
      <c r="AK3"/>
    </row>
    <row r="4" spans="2:37" ht="15.75" thickBot="1" x14ac:dyDescent="0.3">
      <c r="B4" s="124"/>
      <c r="C4" s="110"/>
      <c r="D4" s="100"/>
      <c r="E4" s="109"/>
      <c r="F4" s="120"/>
      <c r="G4" s="109"/>
      <c r="H4" s="120"/>
      <c r="I4" s="116"/>
      <c r="J4" s="116"/>
      <c r="K4" s="118"/>
    </row>
    <row r="5" spans="2:37" ht="12.75" customHeight="1" x14ac:dyDescent="0.25">
      <c r="B5" s="124"/>
      <c r="C5" s="110"/>
      <c r="D5" s="100"/>
      <c r="E5" s="105" t="s">
        <v>208</v>
      </c>
      <c r="F5" s="114" t="s">
        <v>217</v>
      </c>
      <c r="G5" s="105" t="s">
        <v>207</v>
      </c>
      <c r="H5" s="101" t="s">
        <v>202</v>
      </c>
      <c r="I5" s="116"/>
      <c r="J5" s="116"/>
      <c r="K5" s="118"/>
    </row>
    <row r="6" spans="2:37" ht="66.75" customHeight="1" thickBot="1" x14ac:dyDescent="0.3">
      <c r="B6" s="125"/>
      <c r="C6" s="110"/>
      <c r="D6" s="126"/>
      <c r="E6" s="106"/>
      <c r="F6" s="110"/>
      <c r="G6" s="106"/>
      <c r="H6" s="116"/>
      <c r="I6" s="116"/>
      <c r="J6" s="116"/>
      <c r="K6" s="118"/>
    </row>
    <row r="7" spans="2:37" ht="17.25" customHeight="1" thickBot="1" x14ac:dyDescent="0.3">
      <c r="B7" s="26" t="s">
        <v>26</v>
      </c>
      <c r="C7" s="144"/>
      <c r="D7" s="145"/>
      <c r="E7" s="145"/>
      <c r="F7" s="145"/>
      <c r="G7" s="145"/>
      <c r="H7" s="145"/>
      <c r="I7" s="145"/>
      <c r="J7" s="145"/>
      <c r="K7" s="146"/>
    </row>
    <row r="8" spans="2:37" ht="15.75" thickBot="1" x14ac:dyDescent="0.3">
      <c r="B8" s="43" t="s">
        <v>46</v>
      </c>
      <c r="C8" s="60">
        <v>131.643</v>
      </c>
      <c r="D8" s="77"/>
      <c r="E8" s="62">
        <v>98.371986004260521</v>
      </c>
      <c r="F8" s="61">
        <f>65+11.4301580749457</f>
        <v>76.430158074945695</v>
      </c>
      <c r="G8" s="62">
        <v>103.96669678987689</v>
      </c>
      <c r="H8" s="61">
        <f>65+5.82833168208977</f>
        <v>70.828331682089768</v>
      </c>
      <c r="I8" s="61">
        <v>6.8525629945916542</v>
      </c>
      <c r="J8" s="61">
        <v>6.1894861590805146</v>
      </c>
      <c r="K8" s="63">
        <v>6.0498093281958871</v>
      </c>
      <c r="L8" s="22"/>
    </row>
    <row r="9" spans="2:37" ht="15.75" thickBot="1" x14ac:dyDescent="0.3">
      <c r="B9" s="43" t="s">
        <v>47</v>
      </c>
      <c r="C9" s="60">
        <v>134.083</v>
      </c>
      <c r="D9" s="77"/>
      <c r="E9" s="62">
        <v>101.26082780815911</v>
      </c>
      <c r="F9" s="61">
        <f>65+11.1131335642722</f>
        <v>76.113133564272204</v>
      </c>
      <c r="G9" s="62">
        <v>103.79135583168207</v>
      </c>
      <c r="H9" s="61">
        <f>65+5.59835621772682</f>
        <v>70.598356217726817</v>
      </c>
      <c r="I9" s="61">
        <v>6.8119512965992755</v>
      </c>
      <c r="J9" s="61">
        <v>6.0256317282488379</v>
      </c>
      <c r="K9" s="63">
        <v>5.4285419644072537</v>
      </c>
      <c r="L9" s="22"/>
    </row>
    <row r="10" spans="2:37" s="16" customFormat="1" ht="15.75" thickBot="1" x14ac:dyDescent="0.3">
      <c r="B10" s="44" t="s">
        <v>48</v>
      </c>
      <c r="C10" s="8">
        <v>137.661</v>
      </c>
      <c r="D10" s="77"/>
      <c r="E10" s="57">
        <v>97.087256954986643</v>
      </c>
      <c r="F10" s="61">
        <f>65+11.7765274091002</f>
        <v>76.776527409100197</v>
      </c>
      <c r="G10" s="57">
        <v>98.428062868130411</v>
      </c>
      <c r="H10" s="61">
        <f>65+6.0606887698941</f>
        <v>71.060688769894099</v>
      </c>
      <c r="I10" s="56">
        <v>6.8532739441988539</v>
      </c>
      <c r="J10" s="56">
        <v>6.9347025524152706</v>
      </c>
      <c r="K10" s="64" t="s">
        <v>52</v>
      </c>
      <c r="L10" s="22"/>
    </row>
    <row r="11" spans="2:37" s="16" customFormat="1" ht="15.75" thickBot="1" x14ac:dyDescent="0.3">
      <c r="B11" s="43" t="s">
        <v>49</v>
      </c>
      <c r="C11" s="8">
        <v>139.65600000000001</v>
      </c>
      <c r="D11" s="77"/>
      <c r="E11" s="57">
        <v>98.939541335568236</v>
      </c>
      <c r="F11" s="61">
        <f>65+12.1495143489947</f>
        <v>77.1495143489947</v>
      </c>
      <c r="G11" s="57">
        <v>101.81140290377678</v>
      </c>
      <c r="H11" s="61">
        <f>65+7.27564559735016</f>
        <v>72.275645597350163</v>
      </c>
      <c r="I11" s="56">
        <v>6.5269266836055149</v>
      </c>
      <c r="J11" s="56">
        <v>5.335538281684471</v>
      </c>
      <c r="K11" s="64" t="s">
        <v>53</v>
      </c>
      <c r="L11" s="22"/>
    </row>
    <row r="12" spans="2:37" ht="15.75" thickBot="1" x14ac:dyDescent="0.3">
      <c r="B12" s="25" t="s">
        <v>27</v>
      </c>
      <c r="C12" s="147"/>
      <c r="D12" s="148"/>
      <c r="E12" s="148"/>
      <c r="F12" s="148"/>
      <c r="G12" s="148"/>
      <c r="H12" s="148"/>
      <c r="I12" s="148"/>
      <c r="J12" s="148"/>
      <c r="K12" s="149"/>
      <c r="L12" s="22"/>
    </row>
    <row r="13" spans="2:37" ht="15.75" thickBot="1" x14ac:dyDescent="0.3">
      <c r="B13" s="43" t="s">
        <v>50</v>
      </c>
      <c r="C13" s="42">
        <v>129.91300000000001</v>
      </c>
      <c r="D13" s="77"/>
      <c r="E13" s="57">
        <v>97.134508550471381</v>
      </c>
      <c r="F13" s="61">
        <f>65+11.9192849835593</f>
        <v>76.919284983559294</v>
      </c>
      <c r="G13" s="57">
        <v>101.39718754889367</v>
      </c>
      <c r="H13" s="61">
        <f>65+6.80573670089397</f>
        <v>71.805736700893974</v>
      </c>
      <c r="I13" s="56">
        <v>6.553450482246344</v>
      </c>
      <c r="J13" s="56">
        <v>4.6641504224662045</v>
      </c>
      <c r="K13" s="56">
        <v>6.4597859342173543</v>
      </c>
      <c r="L13" s="22"/>
      <c r="M13" s="20"/>
      <c r="N13" s="20"/>
      <c r="O13" s="20"/>
      <c r="P13" s="20"/>
    </row>
    <row r="14" spans="2:37" ht="15.75" thickBot="1" x14ac:dyDescent="0.3">
      <c r="B14" s="45" t="s">
        <v>51</v>
      </c>
      <c r="C14" s="8">
        <v>138.28399999999999</v>
      </c>
      <c r="D14" s="78"/>
      <c r="E14" s="57">
        <v>95.535265978047903</v>
      </c>
      <c r="F14" s="61">
        <f>65+12.2016696464823</f>
        <v>77.201669646482301</v>
      </c>
      <c r="G14" s="57">
        <v>99.748120431363503</v>
      </c>
      <c r="H14" s="61">
        <f>65+7.52578599745137</f>
        <v>72.525785997451365</v>
      </c>
      <c r="I14" s="56">
        <v>6.1511552468244819</v>
      </c>
      <c r="J14" s="56">
        <v>5.3258563397711294</v>
      </c>
      <c r="K14" s="64">
        <v>7.2370000000000001</v>
      </c>
      <c r="L14" s="22"/>
      <c r="M14" s="20"/>
      <c r="N14" s="20"/>
      <c r="O14" s="20"/>
      <c r="P14" s="20"/>
    </row>
    <row r="15" spans="2:37" x14ac:dyDescent="0.25">
      <c r="B15" s="11" t="s">
        <v>23</v>
      </c>
      <c r="C15" s="2"/>
      <c r="D15" s="1"/>
      <c r="E15" s="3"/>
      <c r="F15" s="4"/>
      <c r="G15" s="3"/>
    </row>
    <row r="16" spans="2:37" s="19" customFormat="1" x14ac:dyDescent="0.25">
      <c r="B16" s="15"/>
      <c r="C16" s="2"/>
      <c r="D16" s="1"/>
      <c r="E16" s="3"/>
      <c r="F16" s="4"/>
      <c r="G16" s="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2:11" ht="18.75" x14ac:dyDescent="0.3">
      <c r="B17" s="40" t="s">
        <v>171</v>
      </c>
    </row>
    <row r="18" spans="2:11" ht="15.75" thickBot="1" x14ac:dyDescent="0.3"/>
    <row r="19" spans="2:11" ht="15.75" customHeight="1" x14ac:dyDescent="0.25">
      <c r="B19" s="130" t="s">
        <v>205</v>
      </c>
      <c r="C19" s="127" t="s">
        <v>206</v>
      </c>
      <c r="D19" s="99"/>
      <c r="E19" s="108" t="s">
        <v>201</v>
      </c>
      <c r="F19" s="119"/>
      <c r="G19" s="108" t="s">
        <v>0</v>
      </c>
      <c r="H19" s="119"/>
      <c r="I19" s="101" t="s">
        <v>32</v>
      </c>
      <c r="J19" s="101" t="s">
        <v>235</v>
      </c>
      <c r="K19" s="117" t="s">
        <v>33</v>
      </c>
    </row>
    <row r="20" spans="2:11" ht="15.75" thickBot="1" x14ac:dyDescent="0.3">
      <c r="B20" s="124"/>
      <c r="C20" s="110"/>
      <c r="D20" s="100"/>
      <c r="E20" s="109"/>
      <c r="F20" s="120"/>
      <c r="G20" s="109"/>
      <c r="H20" s="120"/>
      <c r="I20" s="116"/>
      <c r="J20" s="116"/>
      <c r="K20" s="118"/>
    </row>
    <row r="21" spans="2:11" ht="38.25" customHeight="1" x14ac:dyDescent="0.25">
      <c r="B21" s="124"/>
      <c r="C21" s="110"/>
      <c r="D21" s="100"/>
      <c r="E21" s="105" t="s">
        <v>208</v>
      </c>
      <c r="F21" s="114" t="s">
        <v>217</v>
      </c>
      <c r="G21" s="105" t="s">
        <v>207</v>
      </c>
      <c r="H21" s="101" t="s">
        <v>202</v>
      </c>
      <c r="I21" s="116"/>
      <c r="J21" s="116"/>
      <c r="K21" s="118"/>
    </row>
    <row r="22" spans="2:11" ht="44.25" customHeight="1" thickBot="1" x14ac:dyDescent="0.3">
      <c r="B22" s="125"/>
      <c r="C22" s="110"/>
      <c r="D22" s="100"/>
      <c r="E22" s="106"/>
      <c r="F22" s="110"/>
      <c r="G22" s="106"/>
      <c r="H22" s="116"/>
      <c r="I22" s="116"/>
      <c r="J22" s="116"/>
      <c r="K22" s="118"/>
    </row>
    <row r="23" spans="2:11" ht="17.25" customHeight="1" thickBot="1" x14ac:dyDescent="0.3">
      <c r="B23" s="14" t="s">
        <v>26</v>
      </c>
      <c r="C23" s="144"/>
      <c r="D23" s="145"/>
      <c r="E23" s="145"/>
      <c r="F23" s="145"/>
      <c r="G23" s="145"/>
      <c r="H23" s="145"/>
      <c r="I23" s="145"/>
      <c r="J23" s="145"/>
      <c r="K23" s="146"/>
    </row>
    <row r="24" spans="2:11" ht="15.75" thickBot="1" x14ac:dyDescent="0.3">
      <c r="B24" s="46" t="s">
        <v>54</v>
      </c>
      <c r="C24" s="8">
        <v>142.24700000000001</v>
      </c>
      <c r="D24" s="77"/>
      <c r="E24" s="57">
        <v>98.004386091073329</v>
      </c>
      <c r="F24" s="61">
        <f>65+10.3026955825016</f>
        <v>75.302695582501599</v>
      </c>
      <c r="G24" s="57">
        <v>102.55670988247608</v>
      </c>
      <c r="H24" s="61">
        <f>65+4.70893969087986</f>
        <v>69.708939690879859</v>
      </c>
      <c r="I24" s="56">
        <v>6.3885064225236388</v>
      </c>
      <c r="J24" s="56">
        <v>5.9469741104930005</v>
      </c>
      <c r="K24" s="58">
        <v>4.4026584638510924</v>
      </c>
    </row>
    <row r="25" spans="2:11" s="20" customFormat="1" ht="15.75" thickBot="1" x14ac:dyDescent="0.3">
      <c r="B25" s="46" t="s">
        <v>55</v>
      </c>
      <c r="C25" s="8">
        <v>143.85399999999998</v>
      </c>
      <c r="D25" s="77"/>
      <c r="E25" s="57">
        <v>105.16353514118288</v>
      </c>
      <c r="F25" s="61">
        <f>65+12.8809607245218</f>
        <v>77.880960724521799</v>
      </c>
      <c r="G25" s="57">
        <v>103.36659120125199</v>
      </c>
      <c r="H25" s="61">
        <f>65+9.75459772425452</f>
        <v>74.754597724254523</v>
      </c>
      <c r="I25" s="56">
        <v>6.1357580348204213</v>
      </c>
      <c r="J25" s="56">
        <v>5.2180873514847015</v>
      </c>
      <c r="K25" s="58">
        <v>4.4026584638510924</v>
      </c>
    </row>
    <row r="26" spans="2:11" s="24" customFormat="1" ht="15.75" thickBot="1" x14ac:dyDescent="0.3">
      <c r="B26" s="47" t="s">
        <v>56</v>
      </c>
      <c r="C26" s="8">
        <v>145.21899999999999</v>
      </c>
      <c r="D26" s="77"/>
      <c r="E26" s="57">
        <v>97.631171871031569</v>
      </c>
      <c r="F26" s="61">
        <f>65+12.3941506737593</f>
        <v>77.394150673759299</v>
      </c>
      <c r="G26" s="57">
        <v>98.823514441931906</v>
      </c>
      <c r="H26" s="61">
        <f>65+8.86323408840363</f>
        <v>73.86323408840363</v>
      </c>
      <c r="I26" s="56">
        <v>6.6539789460107031</v>
      </c>
      <c r="J26" s="56">
        <v>2.6109932253909767</v>
      </c>
      <c r="K26" s="59">
        <v>4.7908951901859229</v>
      </c>
    </row>
    <row r="27" spans="2:11" ht="15.75" thickBot="1" x14ac:dyDescent="0.3">
      <c r="B27" s="46" t="s">
        <v>57</v>
      </c>
      <c r="C27" s="8">
        <v>145.53800000000001</v>
      </c>
      <c r="D27" s="77"/>
      <c r="E27" s="57">
        <v>100.86360051878403</v>
      </c>
      <c r="F27" s="61">
        <f>65+12.5886421415403</f>
        <v>77.588642141540305</v>
      </c>
      <c r="G27" s="57">
        <v>99.737244746597625</v>
      </c>
      <c r="H27" s="61">
        <f>65+6.78914168792191</f>
        <v>71.789141687921912</v>
      </c>
      <c r="I27" s="56">
        <v>6.4467118248604098</v>
      </c>
      <c r="J27" s="56">
        <v>5.1758300326737565</v>
      </c>
      <c r="K27" s="58">
        <v>4.6457112061784418</v>
      </c>
    </row>
    <row r="28" spans="2:11" ht="15.75" thickBot="1" x14ac:dyDescent="0.3">
      <c r="B28" s="46" t="s">
        <v>58</v>
      </c>
      <c r="C28" s="8">
        <v>145.58699999999999</v>
      </c>
      <c r="D28" s="77"/>
      <c r="E28" s="57">
        <v>99.283272327403495</v>
      </c>
      <c r="F28" s="61">
        <f>65+11.3533221897651</f>
        <v>76.353322189765095</v>
      </c>
      <c r="G28" s="57">
        <v>101.24090667078468</v>
      </c>
      <c r="H28" s="61">
        <f>65+9.21368756907418</f>
        <v>74.213687569074182</v>
      </c>
      <c r="I28" s="56">
        <v>5.9151653065864416</v>
      </c>
      <c r="J28" s="56">
        <v>4.6268943357151775</v>
      </c>
      <c r="K28" s="58">
        <v>5.8462497245342968</v>
      </c>
    </row>
    <row r="29" spans="2:11" ht="15.75" thickBot="1" x14ac:dyDescent="0.3">
      <c r="B29" s="46" t="s">
        <v>59</v>
      </c>
      <c r="C29" s="8">
        <v>146.88900000000001</v>
      </c>
      <c r="D29" s="77"/>
      <c r="E29" s="57">
        <v>98.447348370234579</v>
      </c>
      <c r="F29" s="61">
        <f>65+10.4394235804808</f>
        <v>75.439423580480806</v>
      </c>
      <c r="G29" s="57">
        <v>96.520292987684286</v>
      </c>
      <c r="H29" s="61">
        <f>65+7.82085407619454</f>
        <v>72.820854076194536</v>
      </c>
      <c r="I29" s="56">
        <v>6.456251381468407</v>
      </c>
      <c r="J29" s="56">
        <v>6.1653366249235164</v>
      </c>
      <c r="K29" s="58">
        <v>4.9031582163817946</v>
      </c>
    </row>
    <row r="30" spans="2:11" s="16" customFormat="1" ht="15.75" thickBot="1" x14ac:dyDescent="0.3">
      <c r="B30" s="46" t="s">
        <v>60</v>
      </c>
      <c r="C30" s="8">
        <v>148.09199999999998</v>
      </c>
      <c r="D30" s="77"/>
      <c r="E30" s="57">
        <v>103.47810286812148</v>
      </c>
      <c r="F30" s="61">
        <f>65+13.2397558798775</f>
        <v>78.239755879877492</v>
      </c>
      <c r="G30" s="57">
        <v>100.82684285784504</v>
      </c>
      <c r="H30" s="61">
        <f>65+9.27862077866422</f>
        <v>74.278620778664219</v>
      </c>
      <c r="I30" s="56">
        <v>7.3194337748628584</v>
      </c>
      <c r="J30" s="56">
        <v>6.2516918908171881</v>
      </c>
      <c r="K30" s="59">
        <v>4.6457112061784418</v>
      </c>
    </row>
    <row r="31" spans="2:11" ht="15.75" thickBot="1" x14ac:dyDescent="0.3">
      <c r="B31" s="47" t="s">
        <v>61</v>
      </c>
      <c r="C31" s="8">
        <v>149.49799999999999</v>
      </c>
      <c r="D31" s="77"/>
      <c r="E31" s="57">
        <v>101.4879112961266</v>
      </c>
      <c r="F31" s="61">
        <f>65+12.7660477564403</f>
        <v>77.766047756440301</v>
      </c>
      <c r="G31" s="57">
        <v>98.815443401623114</v>
      </c>
      <c r="H31" s="61">
        <f>65+7.03631235276423</f>
        <v>72.036312352764227</v>
      </c>
      <c r="I31" s="56">
        <v>6.5011782099420063</v>
      </c>
      <c r="J31" s="56">
        <v>6.1091992272036446</v>
      </c>
      <c r="K31" s="58">
        <v>3.5091677042546641</v>
      </c>
    </row>
    <row r="32" spans="2:11" ht="15.75" thickBot="1" x14ac:dyDescent="0.3">
      <c r="B32" s="46" t="s">
        <v>62</v>
      </c>
      <c r="C32" s="8">
        <v>149.61199999999999</v>
      </c>
      <c r="D32" s="77"/>
      <c r="E32" s="57">
        <v>98.639246246124699</v>
      </c>
      <c r="F32" s="61">
        <f>65+13.2834692348501</f>
        <v>78.283469234850102</v>
      </c>
      <c r="G32" s="57">
        <v>99.221056190527591</v>
      </c>
      <c r="H32" s="61">
        <f>65+7.31517361030322</f>
        <v>72.315173610303219</v>
      </c>
      <c r="I32" s="56">
        <v>7.0144801754203012</v>
      </c>
      <c r="J32" s="56">
        <v>4.8726678260648804</v>
      </c>
      <c r="K32" s="58">
        <v>4.1078735400646069</v>
      </c>
    </row>
    <row r="33" spans="2:37" s="16" customFormat="1" ht="15.75" thickBot="1" x14ac:dyDescent="0.3">
      <c r="B33" s="47" t="s">
        <v>63</v>
      </c>
      <c r="C33" s="8">
        <v>150.386</v>
      </c>
      <c r="D33" s="77"/>
      <c r="E33" s="57">
        <v>98.734765711461904</v>
      </c>
      <c r="F33" s="61">
        <f>65+12.4714650230989</f>
        <v>77.471465023098901</v>
      </c>
      <c r="G33" s="57">
        <v>98.584551012007466</v>
      </c>
      <c r="H33" s="61">
        <f>65+8.61232483047866</f>
        <v>73.612324830478656</v>
      </c>
      <c r="I33" s="56">
        <v>6.4487582886435852</v>
      </c>
      <c r="J33" s="56">
        <v>5.6942428443698407</v>
      </c>
      <c r="K33" s="59">
        <v>4.1718256555919613</v>
      </c>
      <c r="L33" s="20"/>
    </row>
    <row r="34" spans="2:37" ht="15.75" thickBot="1" x14ac:dyDescent="0.3">
      <c r="B34" s="47" t="s">
        <v>64</v>
      </c>
      <c r="C34" s="8">
        <v>151.35500000000002</v>
      </c>
      <c r="D34" s="77"/>
      <c r="E34" s="57">
        <v>100.4103616752365</v>
      </c>
      <c r="F34" s="61">
        <f>65+11.6333395184086</f>
        <v>76.633339518408604</v>
      </c>
      <c r="G34" s="57">
        <v>97.561781953523081</v>
      </c>
      <c r="H34" s="61">
        <f>65+6.75417686331964</f>
        <v>71.754176863319643</v>
      </c>
      <c r="I34" s="56">
        <v>6.3384969722257711</v>
      </c>
      <c r="J34" s="56">
        <v>6.9558951704963849</v>
      </c>
      <c r="K34" s="58" t="s">
        <v>178</v>
      </c>
    </row>
    <row r="35" spans="2:37" s="20" customFormat="1" ht="15.75" thickBot="1" x14ac:dyDescent="0.3">
      <c r="B35" s="47" t="s">
        <v>65</v>
      </c>
      <c r="C35" s="8">
        <v>151.70600000000002</v>
      </c>
      <c r="D35" s="77"/>
      <c r="E35" s="57">
        <v>97.179681261684479</v>
      </c>
      <c r="F35" s="61">
        <f>65+11.8424494685338</f>
        <v>76.8424494685338</v>
      </c>
      <c r="G35" s="57">
        <v>95.465284828035834</v>
      </c>
      <c r="H35" s="61">
        <f>65+7.38908013669845</f>
        <v>72.389080136698453</v>
      </c>
      <c r="I35" s="56">
        <v>6.9194332606206856</v>
      </c>
      <c r="J35" s="56">
        <v>6.2226084554028036</v>
      </c>
      <c r="K35" s="58">
        <v>5.9977191836871757</v>
      </c>
    </row>
    <row r="36" spans="2:37" s="16" customFormat="1" ht="15.75" thickBot="1" x14ac:dyDescent="0.3">
      <c r="B36" s="44" t="s">
        <v>66</v>
      </c>
      <c r="C36" s="8">
        <v>151.756</v>
      </c>
      <c r="D36" s="77"/>
      <c r="E36" s="57">
        <v>102.58522649909878</v>
      </c>
      <c r="F36" s="61">
        <f>65+12.6641883350125</f>
        <v>77.664188335012497</v>
      </c>
      <c r="G36" s="57">
        <v>100.07192594854111</v>
      </c>
      <c r="H36" s="61">
        <f>65+8.30148959254842</f>
        <v>73.301489592548421</v>
      </c>
      <c r="I36" s="56">
        <v>6.9539308947968372</v>
      </c>
      <c r="J36" s="56">
        <v>5.6221087407970041</v>
      </c>
      <c r="K36" s="58">
        <v>4.7541337515178368</v>
      </c>
    </row>
    <row r="37" spans="2:37" ht="17.25" customHeight="1" thickBot="1" x14ac:dyDescent="0.3">
      <c r="B37" s="25" t="s">
        <v>27</v>
      </c>
      <c r="C37" s="144"/>
      <c r="D37" s="145"/>
      <c r="E37" s="145"/>
      <c r="F37" s="145"/>
      <c r="G37" s="145"/>
      <c r="H37" s="145"/>
      <c r="I37" s="145"/>
      <c r="J37" s="145"/>
      <c r="K37" s="146"/>
    </row>
    <row r="38" spans="2:37" ht="15.75" thickBot="1" x14ac:dyDescent="0.3">
      <c r="B38" s="43" t="s">
        <v>69</v>
      </c>
      <c r="C38" s="8">
        <v>141.31</v>
      </c>
      <c r="D38" s="77"/>
      <c r="E38" s="57">
        <v>100.55178302376711</v>
      </c>
      <c r="F38" s="61">
        <f>65+12.2984370708868</f>
        <v>77.298437070886806</v>
      </c>
      <c r="G38" s="57">
        <v>104.29002485818302</v>
      </c>
      <c r="H38" s="61">
        <f>65+9.27988124334715</f>
        <v>74.279881243347148</v>
      </c>
      <c r="I38" s="56">
        <v>5.4219211696328742</v>
      </c>
      <c r="J38" s="56">
        <v>2.2204712483831148</v>
      </c>
      <c r="K38" s="56">
        <v>7.2370000000000001</v>
      </c>
    </row>
    <row r="39" spans="2:37" ht="15.75" thickBot="1" x14ac:dyDescent="0.3">
      <c r="B39" s="43" t="s">
        <v>70</v>
      </c>
      <c r="C39" s="8">
        <v>143.613</v>
      </c>
      <c r="D39" s="77"/>
      <c r="E39" s="57">
        <v>98.091741470309188</v>
      </c>
      <c r="F39" s="61">
        <f>65+11.7947769303632</f>
        <v>76.794776930363199</v>
      </c>
      <c r="G39" s="57">
        <v>100.10822660057563</v>
      </c>
      <c r="H39" s="61">
        <f>65+6.96067227503228</f>
        <v>71.96067227503228</v>
      </c>
      <c r="I39" s="56">
        <v>5.8529241298258068</v>
      </c>
      <c r="J39" s="56">
        <v>2.1732265739955894</v>
      </c>
      <c r="K39" s="56">
        <v>6.4451702796468018</v>
      </c>
    </row>
    <row r="40" spans="2:37" ht="15.75" thickBot="1" x14ac:dyDescent="0.3">
      <c r="B40" s="43" t="s">
        <v>71</v>
      </c>
      <c r="C40" s="8">
        <v>143.73099999999999</v>
      </c>
      <c r="D40" s="77"/>
      <c r="E40" s="57">
        <v>98.948772560613804</v>
      </c>
      <c r="F40" s="61">
        <f>65+12.0739735978475</f>
        <v>77.073973597847498</v>
      </c>
      <c r="G40" s="57">
        <v>105.48184544648034</v>
      </c>
      <c r="H40" s="61">
        <f>65+8.12557815409544</f>
        <v>73.125578154095436</v>
      </c>
      <c r="I40" s="56">
        <v>5.8547931339643338</v>
      </c>
      <c r="J40" s="56">
        <v>6.0815354316010621</v>
      </c>
      <c r="K40" s="56">
        <v>6.0499367464408493</v>
      </c>
    </row>
    <row r="41" spans="2:37" ht="15.75" thickBot="1" x14ac:dyDescent="0.3">
      <c r="B41" s="43" t="s">
        <v>72</v>
      </c>
      <c r="C41" s="8">
        <v>143.792</v>
      </c>
      <c r="D41" s="77"/>
      <c r="E41" s="57">
        <v>97.293865280426701</v>
      </c>
      <c r="F41" s="61">
        <f>65+12.1566506737593</f>
        <v>77.156650673759302</v>
      </c>
      <c r="G41" s="57">
        <v>100.62675574865122</v>
      </c>
      <c r="H41" s="61">
        <f>65+8.32988327772105</f>
        <v>73.329883277721052</v>
      </c>
      <c r="I41" s="56">
        <v>6.2625616413824403</v>
      </c>
      <c r="J41" s="56">
        <v>8.5991180610204552</v>
      </c>
      <c r="K41" s="64">
        <v>6.9139902684790755</v>
      </c>
    </row>
    <row r="42" spans="2:37" s="19" customFormat="1" ht="15.75" thickBot="1" x14ac:dyDescent="0.3">
      <c r="B42" s="43" t="s">
        <v>179</v>
      </c>
      <c r="C42" s="8">
        <v>43973</v>
      </c>
      <c r="D42" s="77"/>
      <c r="E42" s="57">
        <v>97.965979974119449</v>
      </c>
      <c r="F42" s="61">
        <f>65+14.252790270226</f>
        <v>79.252790270226001</v>
      </c>
      <c r="G42" s="57">
        <v>99.968529657818934</v>
      </c>
      <c r="H42" s="61">
        <f>65+8.52400787191725</f>
        <v>73.524007871917249</v>
      </c>
      <c r="I42" s="56">
        <v>5.0429738243449531</v>
      </c>
      <c r="J42" s="64">
        <v>4.1561251013264178</v>
      </c>
      <c r="K42" s="64" t="s">
        <v>108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2:37" s="16" customFormat="1" ht="15.75" thickBot="1" x14ac:dyDescent="0.3">
      <c r="B43" s="43" t="s">
        <v>73</v>
      </c>
      <c r="C43" s="8">
        <v>146.16300000000001</v>
      </c>
      <c r="D43" s="77"/>
      <c r="E43" s="57">
        <v>93.890195881974819</v>
      </c>
      <c r="F43" s="61">
        <f>65+12.485957156582</f>
        <v>77.485957156582003</v>
      </c>
      <c r="G43" s="57">
        <v>98.910889714247517</v>
      </c>
      <c r="H43" s="61">
        <f>65+7.64534429767286</f>
        <v>72.645344297672864</v>
      </c>
      <c r="I43" s="56">
        <v>5.9992392455492887</v>
      </c>
      <c r="J43" s="56">
        <v>6.4331031401709966</v>
      </c>
      <c r="K43" s="56">
        <v>6.5067414895362337</v>
      </c>
    </row>
    <row r="44" spans="2:37" s="20" customFormat="1" ht="15.75" thickBot="1" x14ac:dyDescent="0.3">
      <c r="B44" s="43" t="s">
        <v>180</v>
      </c>
      <c r="C44" s="8">
        <v>146.727</v>
      </c>
      <c r="D44" s="77"/>
      <c r="E44" s="57">
        <v>102.29234057704119</v>
      </c>
      <c r="F44" s="61">
        <f>65+11.192790270226</f>
        <v>76.192790270225998</v>
      </c>
      <c r="G44" s="57">
        <v>102.01202080321309</v>
      </c>
      <c r="H44" s="61">
        <f>65+5.08400787191722</f>
        <v>70.084007871917223</v>
      </c>
      <c r="I44" s="56">
        <v>6.6789614493449534</v>
      </c>
      <c r="J44" s="64">
        <v>5.7929444881636361</v>
      </c>
      <c r="K44" s="64" t="s">
        <v>43</v>
      </c>
    </row>
    <row r="45" spans="2:37" s="16" customFormat="1" ht="15.75" thickBot="1" x14ac:dyDescent="0.3">
      <c r="B45" s="43" t="s">
        <v>74</v>
      </c>
      <c r="C45" s="8">
        <v>147.774</v>
      </c>
      <c r="D45" s="77"/>
      <c r="E45" s="57">
        <v>99.004220504344659</v>
      </c>
      <c r="F45" s="61">
        <f>65+12.7776273911885</f>
        <v>77.777627391188503</v>
      </c>
      <c r="G45" s="57">
        <v>97.378250020827124</v>
      </c>
      <c r="H45" s="61">
        <f>65+9.79376439092115</f>
        <v>74.793764390921154</v>
      </c>
      <c r="I45" s="56">
        <v>6.1931713145844647</v>
      </c>
      <c r="J45" s="56">
        <v>6.4331031401709966</v>
      </c>
      <c r="K45" s="56">
        <v>5.4740000000000002</v>
      </c>
    </row>
    <row r="46" spans="2:37" s="20" customFormat="1" ht="15.75" thickBot="1" x14ac:dyDescent="0.3">
      <c r="B46" s="43" t="s">
        <v>181</v>
      </c>
      <c r="C46" s="8">
        <v>148.387</v>
      </c>
      <c r="D46" s="77"/>
      <c r="E46" s="57">
        <v>101.95273596553687</v>
      </c>
      <c r="F46" s="61">
        <f>65+13.2556257279307</f>
        <v>78.255625727930706</v>
      </c>
      <c r="G46" s="57">
        <v>99.500915594598013</v>
      </c>
      <c r="H46" s="61">
        <f>65+7.38212007800199</f>
        <v>72.382120078001989</v>
      </c>
      <c r="I46" s="56">
        <v>6.0668755930102733</v>
      </c>
      <c r="J46" s="56">
        <v>4.1561251013264178</v>
      </c>
      <c r="K46" s="56" t="s">
        <v>182</v>
      </c>
    </row>
    <row r="47" spans="2:37" s="16" customFormat="1" ht="15.75" thickBot="1" x14ac:dyDescent="0.3">
      <c r="B47" s="48" t="s">
        <v>75</v>
      </c>
      <c r="C47" s="8">
        <v>150.85500000000002</v>
      </c>
      <c r="D47" s="77"/>
      <c r="E47" s="57">
        <v>104.07653155951624</v>
      </c>
      <c r="F47" s="61">
        <f>65+13.6799840070926</f>
        <v>78.6799840070926</v>
      </c>
      <c r="G47" s="57">
        <v>102.01451536438275</v>
      </c>
      <c r="H47" s="61">
        <f>65+9.26459905129254</f>
        <v>74.264599051292535</v>
      </c>
      <c r="I47" s="56">
        <v>5.7695863077806813</v>
      </c>
      <c r="J47" s="56">
        <v>5.092686184218115</v>
      </c>
      <c r="K47" s="64">
        <v>6.5067414895362337</v>
      </c>
    </row>
    <row r="48" spans="2:37" s="16" customFormat="1" ht="15.75" thickBot="1" x14ac:dyDescent="0.3">
      <c r="B48" s="43" t="s">
        <v>169</v>
      </c>
      <c r="C48" s="8">
        <v>150.965</v>
      </c>
      <c r="D48" s="77"/>
      <c r="E48" s="57">
        <v>100.97904993824932</v>
      </c>
      <c r="F48" s="61">
        <f>65+11.9006257279307</f>
        <v>76.900625727930702</v>
      </c>
      <c r="G48" s="57">
        <v>99.559358993412246</v>
      </c>
      <c r="H48" s="61">
        <f>65+8.13247239288449</f>
        <v>73.132472392884495</v>
      </c>
      <c r="I48" s="56">
        <v>6.0244653430102737</v>
      </c>
      <c r="J48" s="64">
        <v>5.4822752619057873</v>
      </c>
      <c r="K48" s="64" t="s">
        <v>148</v>
      </c>
    </row>
    <row r="49" spans="2:11" s="16" customFormat="1" ht="15.75" thickBot="1" x14ac:dyDescent="0.3">
      <c r="B49" s="44" t="s">
        <v>76</v>
      </c>
      <c r="C49" s="8">
        <v>151.32499999999999</v>
      </c>
      <c r="D49" s="77"/>
      <c r="E49" s="57">
        <v>100.23637232781211</v>
      </c>
      <c r="F49" s="61">
        <f>65+12.5477452466626</f>
        <v>77.5477452466626</v>
      </c>
      <c r="G49" s="57">
        <v>100.05243443005558</v>
      </c>
      <c r="H49" s="61">
        <f>65+7.87178406794374</f>
        <v>72.871784067943736</v>
      </c>
      <c r="I49" s="56">
        <v>5.505595401096544</v>
      </c>
      <c r="J49" s="56">
        <v>2.2561219534306529</v>
      </c>
      <c r="K49" s="56">
        <v>6.7699617940492587</v>
      </c>
    </row>
    <row r="50" spans="2:11" s="16" customFormat="1" ht="15.75" thickBot="1" x14ac:dyDescent="0.3">
      <c r="B50" s="43" t="s">
        <v>77</v>
      </c>
      <c r="C50" s="8">
        <v>151.40199999999999</v>
      </c>
      <c r="D50" s="77"/>
      <c r="E50" s="57">
        <v>99.998854537495916</v>
      </c>
      <c r="F50" s="61">
        <f>65+11.5263568629752</f>
        <v>76.526356862975206</v>
      </c>
      <c r="G50" s="57">
        <v>101.51475341057409</v>
      </c>
      <c r="H50" s="61">
        <f>65+5.65879359647181</f>
        <v>70.65879359647181</v>
      </c>
      <c r="I50" s="56">
        <v>5.2284195615731246</v>
      </c>
      <c r="J50" s="56">
        <v>5.9469741104930005</v>
      </c>
      <c r="K50" s="64">
        <v>8.4424904485123147</v>
      </c>
    </row>
    <row r="51" spans="2:11" s="16" customFormat="1" ht="15.75" thickBot="1" x14ac:dyDescent="0.3">
      <c r="B51" s="44" t="s">
        <v>78</v>
      </c>
      <c r="C51" s="8">
        <v>151.65300000000002</v>
      </c>
      <c r="D51" s="77"/>
      <c r="E51" s="57">
        <v>95.345883448166731</v>
      </c>
      <c r="F51" s="61">
        <f>65+11.7201477290917</f>
        <v>76.720147729091707</v>
      </c>
      <c r="G51" s="57">
        <v>101.637330174174</v>
      </c>
      <c r="H51" s="61">
        <f>65+6.79368653199484</f>
        <v>71.793686531994837</v>
      </c>
      <c r="I51" s="56">
        <v>5.2285481925757153</v>
      </c>
      <c r="J51" s="56">
        <v>7.5000371317929231</v>
      </c>
      <c r="K51" s="64">
        <v>6.9139902684790755</v>
      </c>
    </row>
    <row r="52" spans="2:11" s="16" customFormat="1" ht="15.75" thickBot="1" x14ac:dyDescent="0.3">
      <c r="B52" s="44" t="s">
        <v>79</v>
      </c>
      <c r="C52" s="8">
        <v>151.828</v>
      </c>
      <c r="D52" s="77"/>
      <c r="E52" s="57">
        <v>94.976900362090603</v>
      </c>
      <c r="F52" s="61">
        <f>65+11.4658173404259</f>
        <v>76.4658173404259</v>
      </c>
      <c r="G52" s="57">
        <v>101.85353235219849</v>
      </c>
      <c r="H52" s="61">
        <f>65+7.46568178463487</f>
        <v>72.465681784634867</v>
      </c>
      <c r="I52" s="56">
        <v>5.6586782971845953</v>
      </c>
      <c r="J52" s="56">
        <v>6.3712413296386448</v>
      </c>
      <c r="K52" s="64">
        <v>5.4301970782688862</v>
      </c>
    </row>
    <row r="53" spans="2:11" s="16" customFormat="1" ht="15.75" thickBot="1" x14ac:dyDescent="0.3">
      <c r="B53" s="43" t="s">
        <v>80</v>
      </c>
      <c r="C53" s="8">
        <v>152.04000000000002</v>
      </c>
      <c r="D53" s="77"/>
      <c r="E53" s="57">
        <v>97.710092372579084</v>
      </c>
      <c r="F53" s="61">
        <f>65+11.9938237388333</f>
        <v>76.993823738833299</v>
      </c>
      <c r="G53" s="57">
        <v>99.249943520295474</v>
      </c>
      <c r="H53" s="61">
        <f>65+8.43739766437993</f>
        <v>73.43739766437993</v>
      </c>
      <c r="I53" s="56">
        <v>6.0739344513984364</v>
      </c>
      <c r="J53" s="56">
        <v>6.4331031401709966</v>
      </c>
      <c r="K53" s="64" t="s">
        <v>183</v>
      </c>
    </row>
    <row r="54" spans="2:11" s="20" customFormat="1" ht="15.75" thickBot="1" x14ac:dyDescent="0.3">
      <c r="B54" s="43" t="s">
        <v>81</v>
      </c>
      <c r="C54" s="8">
        <v>152.06200000000001</v>
      </c>
      <c r="D54" s="77"/>
      <c r="E54" s="57">
        <v>96.282620388310335</v>
      </c>
      <c r="F54" s="61">
        <f>65+10.2131139818827</f>
        <v>75.213113981882699</v>
      </c>
      <c r="G54" s="57">
        <v>101.34733725578094</v>
      </c>
      <c r="H54" s="61">
        <f>65+5.14504258381359</f>
        <v>70.145042583813591</v>
      </c>
      <c r="I54" s="56">
        <v>5.5268526279864201</v>
      </c>
      <c r="J54" s="56">
        <v>5.9469741104930005</v>
      </c>
      <c r="K54" s="64">
        <v>7.6343860721272652</v>
      </c>
    </row>
    <row r="55" spans="2:11" s="24" customFormat="1" ht="15.75" thickBot="1" x14ac:dyDescent="0.3">
      <c r="B55" s="44" t="s">
        <v>82</v>
      </c>
      <c r="C55" s="8">
        <v>152.09699999999998</v>
      </c>
      <c r="D55" s="77"/>
      <c r="E55" s="57">
        <v>96.034036986020041</v>
      </c>
      <c r="F55" s="61">
        <f>65+10.3069421884397</f>
        <v>75.306942188439706</v>
      </c>
      <c r="G55" s="57">
        <v>100.16056083450877</v>
      </c>
      <c r="H55" s="61">
        <f>65+6.07114776080627</f>
        <v>71.071147760806269</v>
      </c>
      <c r="I55" s="56">
        <v>6.002688975650317</v>
      </c>
      <c r="J55" s="56">
        <v>4.189416732245455</v>
      </c>
      <c r="K55" s="56">
        <v>6.5067414895362337</v>
      </c>
    </row>
    <row r="56" spans="2:11" s="16" customFormat="1" ht="15.75" thickBot="1" x14ac:dyDescent="0.3">
      <c r="B56" s="43" t="s">
        <v>83</v>
      </c>
      <c r="C56" s="8">
        <v>153.13299999999998</v>
      </c>
      <c r="D56" s="77"/>
      <c r="E56" s="57">
        <v>95.754145114862681</v>
      </c>
      <c r="F56" s="61">
        <f>65+13.1040015539341</f>
        <v>78.104001553934097</v>
      </c>
      <c r="G56" s="57">
        <v>95.489401177775946</v>
      </c>
      <c r="H56" s="61">
        <f>65+10.0626441622262</f>
        <v>75.062644162226206</v>
      </c>
      <c r="I56" s="56">
        <v>5.1421409836810348</v>
      </c>
      <c r="J56" s="56">
        <v>6.6283504653933374</v>
      </c>
      <c r="K56" s="56">
        <v>7.2370000000000001</v>
      </c>
    </row>
    <row r="57" spans="2:11" x14ac:dyDescent="0.25">
      <c r="B57" s="11" t="s">
        <v>23</v>
      </c>
    </row>
    <row r="60" spans="2:11" ht="18.75" x14ac:dyDescent="0.3">
      <c r="B60" s="40" t="s">
        <v>172</v>
      </c>
    </row>
    <row r="61" spans="2:11" ht="11.25" customHeight="1" thickBot="1" x14ac:dyDescent="0.3"/>
    <row r="62" spans="2:11" ht="15.75" customHeight="1" x14ac:dyDescent="0.25">
      <c r="B62" s="130" t="s">
        <v>205</v>
      </c>
      <c r="C62" s="127" t="s">
        <v>206</v>
      </c>
      <c r="D62" s="99"/>
      <c r="E62" s="108" t="s">
        <v>201</v>
      </c>
      <c r="F62" s="119"/>
      <c r="G62" s="108" t="s">
        <v>0</v>
      </c>
      <c r="H62" s="119"/>
      <c r="I62" s="101" t="s">
        <v>32</v>
      </c>
      <c r="J62" s="101" t="s">
        <v>235</v>
      </c>
      <c r="K62" s="117" t="s">
        <v>33</v>
      </c>
    </row>
    <row r="63" spans="2:11" ht="15.75" thickBot="1" x14ac:dyDescent="0.3">
      <c r="B63" s="124"/>
      <c r="C63" s="110"/>
      <c r="D63" s="100"/>
      <c r="E63" s="109"/>
      <c r="F63" s="120"/>
      <c r="G63" s="109"/>
      <c r="H63" s="120"/>
      <c r="I63" s="116"/>
      <c r="J63" s="116"/>
      <c r="K63" s="118"/>
    </row>
    <row r="64" spans="2:11" ht="42.75" customHeight="1" x14ac:dyDescent="0.25">
      <c r="B64" s="124"/>
      <c r="C64" s="110"/>
      <c r="D64" s="100"/>
      <c r="E64" s="105" t="s">
        <v>208</v>
      </c>
      <c r="F64" s="114" t="s">
        <v>217</v>
      </c>
      <c r="G64" s="105" t="s">
        <v>207</v>
      </c>
      <c r="H64" s="101" t="s">
        <v>202</v>
      </c>
      <c r="I64" s="116"/>
      <c r="J64" s="116"/>
      <c r="K64" s="118"/>
    </row>
    <row r="65" spans="2:37" ht="38.25" customHeight="1" thickBot="1" x14ac:dyDescent="0.3">
      <c r="B65" s="125"/>
      <c r="C65" s="128"/>
      <c r="D65" s="129"/>
      <c r="E65" s="107"/>
      <c r="F65" s="128"/>
      <c r="G65" s="107"/>
      <c r="H65" s="102"/>
      <c r="I65" s="121"/>
      <c r="J65" s="121"/>
      <c r="K65" s="122"/>
    </row>
    <row r="66" spans="2:37" ht="15.75" thickBot="1" x14ac:dyDescent="0.3">
      <c r="B66" s="14" t="s">
        <v>26</v>
      </c>
      <c r="C66" s="153"/>
      <c r="D66" s="154"/>
      <c r="E66" s="154"/>
      <c r="F66" s="154"/>
      <c r="G66" s="154"/>
      <c r="H66" s="154"/>
      <c r="I66" s="154"/>
      <c r="J66" s="154"/>
      <c r="K66" s="155"/>
    </row>
    <row r="67" spans="2:37" s="19" customFormat="1" ht="15.75" thickBot="1" x14ac:dyDescent="0.3">
      <c r="B67" s="43" t="s">
        <v>42</v>
      </c>
      <c r="C67" s="60">
        <v>152.60899999999998</v>
      </c>
      <c r="D67" s="77"/>
      <c r="E67" s="62">
        <v>97.436326477922691</v>
      </c>
      <c r="F67" s="61">
        <f>65+11.2452189478882</f>
        <v>76.245218947888205</v>
      </c>
      <c r="G67" s="62">
        <v>99.376968517722005</v>
      </c>
      <c r="H67" s="61">
        <f>65+8.39218530623715</f>
        <v>73.392185306237153</v>
      </c>
      <c r="I67" s="61">
        <v>6.7123264269523073</v>
      </c>
      <c r="J67" s="61">
        <v>7.0815325126549578</v>
      </c>
      <c r="K67" s="61" t="s">
        <v>187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2:37" s="19" customFormat="1" ht="15.75" thickBot="1" x14ac:dyDescent="0.3">
      <c r="B68" s="43" t="s">
        <v>184</v>
      </c>
      <c r="C68" s="60">
        <v>43982</v>
      </c>
      <c r="D68" s="77"/>
      <c r="E68" s="57">
        <v>101.8805349256414</v>
      </c>
      <c r="F68" s="61">
        <f>65+12.7170859196159</f>
        <v>77.717085919615897</v>
      </c>
      <c r="G68" s="57">
        <v>102.44673929549315</v>
      </c>
      <c r="H68" s="61">
        <f>65+8.27431807190457</f>
        <v>73.274318071904574</v>
      </c>
      <c r="I68" s="61">
        <v>6.7789820206452358</v>
      </c>
      <c r="J68" s="63">
        <v>7.6142619295119296</v>
      </c>
      <c r="K68" s="63" t="s">
        <v>188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2:37" s="19" customFormat="1" ht="15.75" thickBot="1" x14ac:dyDescent="0.3">
      <c r="B69" s="43" t="s">
        <v>84</v>
      </c>
      <c r="C69" s="60">
        <v>154.05700000000002</v>
      </c>
      <c r="D69" s="77"/>
      <c r="E69" s="57">
        <v>102.27605988916417</v>
      </c>
      <c r="F69" s="61">
        <f>65+10.8293368292261</f>
        <v>75.829336829226094</v>
      </c>
      <c r="G69" s="57">
        <v>99.770158526112127</v>
      </c>
      <c r="H69" s="61">
        <f>65+8.33868789727886</f>
        <v>73.338687897278859</v>
      </c>
      <c r="I69" s="61">
        <v>6.570778296863363</v>
      </c>
      <c r="J69" s="61">
        <v>4.3693396799160489</v>
      </c>
      <c r="K69" s="63" t="s">
        <v>106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2:37" ht="15.75" thickBot="1" x14ac:dyDescent="0.3">
      <c r="B70" s="43" t="s">
        <v>85</v>
      </c>
      <c r="C70" s="60">
        <v>154.34699999999998</v>
      </c>
      <c r="D70" s="77"/>
      <c r="E70" s="57">
        <v>102.1940333754406</v>
      </c>
      <c r="F70" s="61">
        <f>65+14.4722923945973</f>
        <v>79.472292394597304</v>
      </c>
      <c r="G70" s="57">
        <v>95.184878238366935</v>
      </c>
      <c r="H70" s="61">
        <f>65+11.3514666509288</f>
        <v>76.351466650928799</v>
      </c>
      <c r="I70" s="61">
        <v>6.6953815930102749</v>
      </c>
      <c r="J70" s="63">
        <v>6.5411726319239083</v>
      </c>
      <c r="K70" s="61" t="s">
        <v>68</v>
      </c>
    </row>
    <row r="71" spans="2:37" s="19" customFormat="1" ht="15.75" thickBot="1" x14ac:dyDescent="0.3">
      <c r="B71" s="43" t="s">
        <v>86</v>
      </c>
      <c r="C71" s="60">
        <v>154.63900000000001</v>
      </c>
      <c r="D71" s="77"/>
      <c r="E71" s="57">
        <v>100.24764940165892</v>
      </c>
      <c r="F71" s="61">
        <f>65+12.3692276121268</f>
        <v>77.369227612126792</v>
      </c>
      <c r="G71" s="57">
        <v>101.84938063283556</v>
      </c>
      <c r="H71" s="61">
        <f>65+10.4373129920491</f>
        <v>75.437312992049101</v>
      </c>
      <c r="I71" s="61">
        <v>6.8447560687185423</v>
      </c>
      <c r="J71" s="63">
        <v>3.1208112804571417</v>
      </c>
      <c r="K71" s="63" t="s">
        <v>189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2:37" ht="15.75" thickBot="1" x14ac:dyDescent="0.3">
      <c r="B72" s="43" t="s">
        <v>87</v>
      </c>
      <c r="C72" s="60">
        <v>154.739</v>
      </c>
      <c r="D72" s="77"/>
      <c r="E72" s="57">
        <v>96.216417307820009</v>
      </c>
      <c r="F72" s="61">
        <f>65+10.8587813899717</f>
        <v>75.858781389971696</v>
      </c>
      <c r="G72" s="57">
        <v>95.791716733409331</v>
      </c>
      <c r="H72" s="61">
        <f>65+7.2434823400269</f>
        <v>72.243482340026901</v>
      </c>
      <c r="I72" s="61">
        <v>6.6446328167478121</v>
      </c>
      <c r="J72" s="61">
        <v>6.7727376670001354</v>
      </c>
      <c r="K72" s="61">
        <v>5.5423656063718933</v>
      </c>
    </row>
    <row r="73" spans="2:37" s="19" customFormat="1" ht="15.75" thickBot="1" x14ac:dyDescent="0.3">
      <c r="B73" s="43" t="s">
        <v>88</v>
      </c>
      <c r="C73" s="60">
        <v>154.929</v>
      </c>
      <c r="D73" s="77"/>
      <c r="E73" s="57">
        <v>98.354367407838637</v>
      </c>
      <c r="F73" s="61">
        <f>65+11.203336313149</f>
        <v>76.203336313148995</v>
      </c>
      <c r="G73" s="57">
        <v>96.937248757936075</v>
      </c>
      <c r="H73" s="61">
        <f>65+7.81492235571112</f>
        <v>72.814922355711118</v>
      </c>
      <c r="I73" s="61">
        <v>6.4907076218244821</v>
      </c>
      <c r="J73" s="61">
        <v>6.3587957235382193</v>
      </c>
      <c r="K73" s="61">
        <v>5.8434524559259362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2:37" ht="15.75" thickBot="1" x14ac:dyDescent="0.3">
      <c r="B74" s="43" t="s">
        <v>89</v>
      </c>
      <c r="C74" s="60">
        <v>155.185</v>
      </c>
      <c r="D74" s="77"/>
      <c r="E74" s="57">
        <v>99.179116019612863</v>
      </c>
      <c r="F74" s="61">
        <f>65+12.6675487050917</f>
        <v>77.667548705091704</v>
      </c>
      <c r="G74" s="57">
        <v>94.765687114118265</v>
      </c>
      <c r="H74" s="61">
        <f>65+8.97794620009201</f>
        <v>73.977946200092006</v>
      </c>
      <c r="I74" s="61">
        <v>7.0284119650157617</v>
      </c>
      <c r="J74" s="61">
        <v>6.0604056402285709</v>
      </c>
      <c r="K74" s="61">
        <v>4.0852817374746691</v>
      </c>
    </row>
    <row r="75" spans="2:37" ht="15.75" thickBot="1" x14ac:dyDescent="0.3">
      <c r="B75" s="43" t="s">
        <v>90</v>
      </c>
      <c r="C75" s="60">
        <v>155.58100000000002</v>
      </c>
      <c r="D75" s="77"/>
      <c r="E75" s="57">
        <v>99.246057052200655</v>
      </c>
      <c r="F75" s="61">
        <f>65+10.6252189478882</f>
        <v>75.6252189478882</v>
      </c>
      <c r="G75" s="57">
        <v>96.726380072150008</v>
      </c>
      <c r="H75" s="61">
        <f>65+7.78996308401491</f>
        <v>72.789963084014914</v>
      </c>
      <c r="I75" s="61">
        <v>5.9591260519523068</v>
      </c>
      <c r="J75" s="61">
        <v>6.2868772604248075</v>
      </c>
      <c r="K75" s="61" t="s">
        <v>107</v>
      </c>
    </row>
    <row r="76" spans="2:37" s="16" customFormat="1" ht="15.75" thickBot="1" x14ac:dyDescent="0.3">
      <c r="B76" s="43" t="s">
        <v>91</v>
      </c>
      <c r="C76" s="60">
        <v>156.25900000000001</v>
      </c>
      <c r="D76" s="77"/>
      <c r="E76" s="57">
        <v>100.09758608989252</v>
      </c>
      <c r="F76" s="61">
        <f>65+11.5771146070039</f>
        <v>76.577114607003892</v>
      </c>
      <c r="G76" s="57">
        <v>97.779694384830492</v>
      </c>
      <c r="H76" s="61">
        <f>65+7.75368789727887</f>
        <v>72.753687897278866</v>
      </c>
      <c r="I76" s="61">
        <v>6.6963249968633658</v>
      </c>
      <c r="J76" s="63">
        <v>4.5996906358757004</v>
      </c>
      <c r="K76" s="63" t="s">
        <v>190</v>
      </c>
    </row>
    <row r="77" spans="2:37" ht="15.75" thickBot="1" x14ac:dyDescent="0.3">
      <c r="B77" s="43" t="s">
        <v>92</v>
      </c>
      <c r="C77" s="60">
        <v>156.33799999999999</v>
      </c>
      <c r="D77" s="77"/>
      <c r="E77" s="57">
        <v>95.976927174491962</v>
      </c>
      <c r="F77" s="61">
        <f>65+11.7641054885795</f>
        <v>76.764105488579503</v>
      </c>
      <c r="G77" s="57">
        <v>91.236311256354838</v>
      </c>
      <c r="H77" s="61">
        <f>65+9.7651912512395</f>
        <v>74.7651912512395</v>
      </c>
      <c r="I77" s="61">
        <v>6.4250190930783138</v>
      </c>
      <c r="J77" s="61">
        <v>5.6771168392493845</v>
      </c>
      <c r="K77" s="61">
        <v>4.7222868258846527</v>
      </c>
    </row>
    <row r="78" spans="2:37" s="19" customFormat="1" ht="15.75" thickBot="1" x14ac:dyDescent="0.3">
      <c r="B78" s="43" t="s">
        <v>93</v>
      </c>
      <c r="C78" s="60">
        <v>156.37900000000002</v>
      </c>
      <c r="D78" s="77"/>
      <c r="E78" s="57">
        <v>97.451724832199488</v>
      </c>
      <c r="F78" s="61">
        <f>65+12.3132564593719</f>
        <v>77.3132564593719</v>
      </c>
      <c r="G78" s="57">
        <v>93.50166881339986</v>
      </c>
      <c r="H78" s="61">
        <f>65+9.79450000125115</f>
        <v>74.794500001251151</v>
      </c>
      <c r="I78" s="61">
        <v>6.1162285605578983</v>
      </c>
      <c r="J78" s="61">
        <v>4.9009315082570284</v>
      </c>
      <c r="K78" s="61">
        <v>4.7509006130710478</v>
      </c>
      <c r="L78" s="39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2:37" ht="15.75" thickBot="1" x14ac:dyDescent="0.3">
      <c r="B79" s="43" t="s">
        <v>94</v>
      </c>
      <c r="C79" s="60">
        <v>156.38400000000001</v>
      </c>
      <c r="D79" s="77"/>
      <c r="E79" s="57">
        <v>97.980632978461287</v>
      </c>
      <c r="F79" s="61">
        <f>65+11.8561792392938</f>
        <v>76.856179239293795</v>
      </c>
      <c r="G79" s="57">
        <v>99.932530862534193</v>
      </c>
      <c r="H79" s="61">
        <f>65+8.9008716237561</f>
        <v>73.900871623756103</v>
      </c>
      <c r="I79" s="61">
        <v>6.278544468821103</v>
      </c>
      <c r="J79" s="61">
        <v>6.3165297653970525</v>
      </c>
      <c r="K79" s="63">
        <v>3.9869776381907087</v>
      </c>
    </row>
    <row r="80" spans="2:37" s="16" customFormat="1" ht="15.75" thickBot="1" x14ac:dyDescent="0.3">
      <c r="B80" s="43" t="s">
        <v>95</v>
      </c>
      <c r="C80" s="60">
        <v>157.32499999999999</v>
      </c>
      <c r="D80" s="77"/>
      <c r="E80" s="57">
        <v>100.41855855102861</v>
      </c>
      <c r="F80" s="61">
        <f>65+11.3018856145548</f>
        <v>76.301885614554806</v>
      </c>
      <c r="G80" s="57">
        <v>96.537354790105994</v>
      </c>
      <c r="H80" s="61">
        <f>65+6.94885197290382</f>
        <v>71.948851972903825</v>
      </c>
      <c r="I80" s="61">
        <v>6.6920225519523076</v>
      </c>
      <c r="J80" s="63">
        <v>4.4389776365380538</v>
      </c>
      <c r="K80" s="61" t="s">
        <v>190</v>
      </c>
    </row>
    <row r="81" spans="2:37" s="16" customFormat="1" ht="15.75" thickBot="1" x14ac:dyDescent="0.3">
      <c r="B81" s="43" t="s">
        <v>96</v>
      </c>
      <c r="C81" s="60">
        <v>157.44999999999999</v>
      </c>
      <c r="D81" s="77"/>
      <c r="E81" s="57">
        <v>96.165013473869834</v>
      </c>
      <c r="F81" s="61">
        <f>65+10.4471915685929</f>
        <v>75.447191568592899</v>
      </c>
      <c r="G81" s="57">
        <v>95.648707879067828</v>
      </c>
      <c r="H81" s="61">
        <f>65+8.35007076773242</f>
        <v>73.350070767732419</v>
      </c>
      <c r="I81" s="61">
        <v>7.0234655867366129</v>
      </c>
      <c r="J81" s="63">
        <v>6.5667239161985744</v>
      </c>
      <c r="K81" s="61">
        <v>4.5271126998324673</v>
      </c>
    </row>
    <row r="82" spans="2:37" s="20" customFormat="1" ht="15.75" thickBot="1" x14ac:dyDescent="0.3">
      <c r="B82" s="43" t="s">
        <v>97</v>
      </c>
      <c r="C82" s="60">
        <v>157.48099999999999</v>
      </c>
      <c r="D82" s="77"/>
      <c r="E82" s="57">
        <v>96.428902864722048</v>
      </c>
      <c r="F82" s="61">
        <f>65+10.8562416793695</f>
        <v>75.856241679369504</v>
      </c>
      <c r="G82" s="57">
        <v>97.566149209067248</v>
      </c>
      <c r="H82" s="61">
        <f>65+6.43408952240834</f>
        <v>71.434089522408343</v>
      </c>
      <c r="I82" s="61">
        <v>6.3295231243517964</v>
      </c>
      <c r="J82" s="61">
        <v>5.1422684774598428</v>
      </c>
      <c r="K82" s="61">
        <v>5.3367852915779013</v>
      </c>
    </row>
    <row r="83" spans="2:37" s="24" customFormat="1" ht="15.75" thickBot="1" x14ac:dyDescent="0.3">
      <c r="B83" s="43" t="s">
        <v>98</v>
      </c>
      <c r="C83" s="60">
        <v>157.97199999999998</v>
      </c>
      <c r="D83" s="77"/>
      <c r="E83" s="57">
        <v>98.009763454605618</v>
      </c>
      <c r="F83" s="61">
        <f>65+10.5404633017976</f>
        <v>75.540463301797601</v>
      </c>
      <c r="G83" s="57">
        <v>96.654132953820252</v>
      </c>
      <c r="H83" s="61">
        <f>65+7.47413927729069</f>
        <v>72.474139277290689</v>
      </c>
      <c r="I83" s="61">
        <v>6.6006577565370712</v>
      </c>
      <c r="J83" s="63">
        <v>6.7727376670001354</v>
      </c>
      <c r="K83" s="61">
        <v>4.779708398700393</v>
      </c>
    </row>
    <row r="84" spans="2:37" s="16" customFormat="1" ht="15.75" thickBot="1" x14ac:dyDescent="0.3">
      <c r="B84" s="43" t="s">
        <v>99</v>
      </c>
      <c r="C84" s="60">
        <v>158.369</v>
      </c>
      <c r="D84" s="77"/>
      <c r="E84" s="57">
        <v>100.23135687428282</v>
      </c>
      <c r="F84" s="61">
        <f>65+12.1523921336661</f>
        <v>77.152392133666098</v>
      </c>
      <c r="G84" s="57">
        <v>97.079558150743154</v>
      </c>
      <c r="H84" s="61">
        <f>65+8.52247153931857</f>
        <v>73.522471539318573</v>
      </c>
      <c r="I84" s="61">
        <v>6.3868662480965668</v>
      </c>
      <c r="J84" s="63">
        <v>3.3711053482943916</v>
      </c>
      <c r="K84" s="63">
        <v>4.7509006130710478</v>
      </c>
    </row>
    <row r="85" spans="2:37" s="20" customFormat="1" ht="15.75" thickBot="1" x14ac:dyDescent="0.3">
      <c r="B85" s="43" t="s">
        <v>185</v>
      </c>
      <c r="C85" s="60">
        <v>158.41200000000001</v>
      </c>
      <c r="D85" s="77"/>
      <c r="E85" s="57">
        <v>97.221115925951167</v>
      </c>
      <c r="F85" s="61">
        <f>65+11.6370859196159</f>
        <v>76.637085919615899</v>
      </c>
      <c r="G85" s="57">
        <v>95.349322046865339</v>
      </c>
      <c r="H85" s="61">
        <f>65+9.49931807190454</f>
        <v>74.49931807190454</v>
      </c>
      <c r="I85" s="61">
        <v>7.3850855206452373</v>
      </c>
      <c r="J85" s="63">
        <v>7.2563178328605868</v>
      </c>
      <c r="K85" s="63" t="s">
        <v>68</v>
      </c>
    </row>
    <row r="86" spans="2:37" ht="15.75" thickBot="1" x14ac:dyDescent="0.3">
      <c r="B86" s="43" t="s">
        <v>100</v>
      </c>
      <c r="C86" s="60">
        <v>159.172</v>
      </c>
      <c r="D86" s="77"/>
      <c r="E86" s="57">
        <v>106.55597357280865</v>
      </c>
      <c r="F86" s="61">
        <f>65+12.798225718115</f>
        <v>77.798225718115006</v>
      </c>
      <c r="G86" s="57">
        <v>99.778485661301772</v>
      </c>
      <c r="H86" s="61">
        <f>65+7.62202123061219</f>
        <v>72.622021230612191</v>
      </c>
      <c r="I86" s="61">
        <v>6.4491455968633637</v>
      </c>
      <c r="J86" s="61">
        <v>4.8814583891867747</v>
      </c>
      <c r="K86" s="63" t="s">
        <v>67</v>
      </c>
    </row>
    <row r="87" spans="2:37" ht="15.75" thickBot="1" x14ac:dyDescent="0.3">
      <c r="B87" s="43" t="s">
        <v>101</v>
      </c>
      <c r="C87" s="60">
        <v>159.69499999999999</v>
      </c>
      <c r="D87" s="77"/>
      <c r="E87" s="57">
        <v>98.402934247125017</v>
      </c>
      <c r="F87" s="61">
        <f>65+14.0789937527994</f>
        <v>79.078993752799406</v>
      </c>
      <c r="G87" s="57">
        <v>91.77979157682239</v>
      </c>
      <c r="H87" s="61">
        <f>65+10.2991851419757</f>
        <v>75.299185141975698</v>
      </c>
      <c r="I87" s="61">
        <v>7.3043461052394214</v>
      </c>
      <c r="J87" s="63">
        <v>6.3768401688040441</v>
      </c>
      <c r="K87" s="63">
        <v>4.2365402069504139</v>
      </c>
    </row>
    <row r="88" spans="2:37" s="19" customFormat="1" ht="15.75" thickBot="1" x14ac:dyDescent="0.3">
      <c r="B88" s="43" t="s">
        <v>102</v>
      </c>
      <c r="C88" s="60">
        <v>160.023</v>
      </c>
      <c r="D88" s="77"/>
      <c r="E88" s="57">
        <v>100.9766394639737</v>
      </c>
      <c r="F88" s="61">
        <f>65+9.84256094546016</f>
        <v>74.842560945460164</v>
      </c>
      <c r="G88" s="57">
        <v>95.721543795159221</v>
      </c>
      <c r="H88" s="61">
        <f>65+8.08064632538239</f>
        <v>73.080646325382389</v>
      </c>
      <c r="I88" s="61">
        <v>6.8833681937185407</v>
      </c>
      <c r="J88" s="63">
        <v>6.5018251662463662</v>
      </c>
      <c r="K88" s="63" t="s">
        <v>190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2:37" s="19" customFormat="1" ht="15.75" thickBot="1" x14ac:dyDescent="0.3">
      <c r="B89" s="43" t="s">
        <v>186</v>
      </c>
      <c r="C89" s="60">
        <v>43990</v>
      </c>
      <c r="D89" s="77"/>
      <c r="E89" s="57">
        <v>102.08804619999999</v>
      </c>
      <c r="F89" s="61">
        <f>65+11.93127226</f>
        <v>76.93127226</v>
      </c>
      <c r="G89" s="57">
        <v>96.524781914562183</v>
      </c>
      <c r="H89" s="61">
        <f>65+8.65309939611596</f>
        <v>73.653099396115962</v>
      </c>
      <c r="I89" s="61">
        <v>6.4206133098518308</v>
      </c>
      <c r="J89" s="63">
        <v>8.3071309647559648</v>
      </c>
      <c r="K89" s="63" t="s">
        <v>188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:37" s="19" customFormat="1" ht="15.75" thickBot="1" x14ac:dyDescent="0.3">
      <c r="B90" s="44" t="s">
        <v>103</v>
      </c>
      <c r="C90" s="60">
        <v>162.524</v>
      </c>
      <c r="D90" s="77"/>
      <c r="E90" s="57">
        <v>103.02482389677922</v>
      </c>
      <c r="F90" s="61">
        <f>65+12.0096695674531</f>
        <v>77.009669567453102</v>
      </c>
      <c r="G90" s="57">
        <v>97.947462944988729</v>
      </c>
      <c r="H90" s="61">
        <f>65+7.42560565290383</f>
        <v>72.425605652903826</v>
      </c>
      <c r="I90" s="61">
        <v>6.0332837116738247</v>
      </c>
      <c r="J90" s="61">
        <v>3.7689534985817605</v>
      </c>
      <c r="K90" s="61">
        <v>2.9908660191338718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2:37" s="19" customFormat="1" ht="15.75" thickBot="1" x14ac:dyDescent="0.3">
      <c r="B91" s="44" t="s">
        <v>104</v>
      </c>
      <c r="C91" s="60">
        <v>164.31100000000001</v>
      </c>
      <c r="D91" s="77"/>
      <c r="E91" s="57">
        <v>100.55861740683001</v>
      </c>
      <c r="F91" s="61">
        <f>65+10.9209203620063</f>
        <v>75.920920362006299</v>
      </c>
      <c r="G91" s="57">
        <v>92.916361766105155</v>
      </c>
      <c r="H91" s="61">
        <f>65+8.05610034214858</f>
        <v>73.056100342148582</v>
      </c>
      <c r="I91" s="61">
        <v>6.4788506151850935</v>
      </c>
      <c r="J91" s="61">
        <v>4.1996625118644006</v>
      </c>
      <c r="K91" s="63">
        <v>4.7509006130710478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2:37" s="19" customFormat="1" ht="15.75" thickBot="1" x14ac:dyDescent="0.3">
      <c r="B92" s="43" t="s">
        <v>105</v>
      </c>
      <c r="C92" s="60">
        <v>170.964</v>
      </c>
      <c r="D92" s="77"/>
      <c r="E92" s="57">
        <v>102.15824331343654</v>
      </c>
      <c r="F92" s="61">
        <f>65+10.9393208899708</f>
        <v>75.939320889970801</v>
      </c>
      <c r="G92" s="57">
        <v>93.363095661952158</v>
      </c>
      <c r="H92" s="61">
        <f>65+6.7420212306122</f>
        <v>71.742021230612195</v>
      </c>
      <c r="I92" s="61">
        <v>6.6214542968633641</v>
      </c>
      <c r="J92" s="61">
        <v>4.4389776365380538</v>
      </c>
      <c r="K92" s="63" t="s">
        <v>189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2:37" ht="15.75" thickBot="1" x14ac:dyDescent="0.3">
      <c r="B93" s="26" t="s">
        <v>27</v>
      </c>
      <c r="C93" s="150"/>
      <c r="D93" s="151"/>
      <c r="E93" s="151"/>
      <c r="F93" s="151"/>
      <c r="G93" s="151"/>
      <c r="H93" s="151"/>
      <c r="I93" s="151"/>
      <c r="J93" s="151"/>
      <c r="K93" s="152"/>
    </row>
    <row r="94" spans="2:37" s="20" customFormat="1" ht="15.75" thickBot="1" x14ac:dyDescent="0.3">
      <c r="B94" s="45" t="s">
        <v>110</v>
      </c>
      <c r="C94" s="60">
        <v>152.67099999999999</v>
      </c>
      <c r="D94" s="79"/>
      <c r="E94" s="57">
        <v>102.62903747550926</v>
      </c>
      <c r="F94" s="61">
        <f>65+12.3465588003328</f>
        <v>77.346558800332801</v>
      </c>
      <c r="G94" s="65">
        <v>105.17803092479826</v>
      </c>
      <c r="H94" s="61">
        <f>65+7.37734522263726</f>
        <v>72.37734522263726</v>
      </c>
      <c r="I94" s="63">
        <v>5.5459374623822786</v>
      </c>
      <c r="J94" s="63">
        <v>3.6930272282590328</v>
      </c>
      <c r="K94" s="63">
        <v>6.0777655809295519</v>
      </c>
    </row>
    <row r="95" spans="2:37" ht="15.75" thickBot="1" x14ac:dyDescent="0.3">
      <c r="B95" s="43" t="s">
        <v>111</v>
      </c>
      <c r="C95" s="60">
        <v>153.65600000000001</v>
      </c>
      <c r="D95" s="77"/>
      <c r="E95" s="57">
        <v>99.810249688872474</v>
      </c>
      <c r="F95" s="61">
        <f>65+10.0831752153492</f>
        <v>75.0831752153492</v>
      </c>
      <c r="G95" s="57">
        <v>102.63322897261131</v>
      </c>
      <c r="H95" s="61">
        <f>65+6.61557075675211</f>
        <v>71.615570756752106</v>
      </c>
      <c r="I95" s="61">
        <v>5.9218014925584175</v>
      </c>
      <c r="J95" s="61">
        <v>7.2110198435980344</v>
      </c>
      <c r="K95" s="61">
        <v>6.9043570914871975</v>
      </c>
    </row>
    <row r="96" spans="2:37" ht="15.75" thickBot="1" x14ac:dyDescent="0.3">
      <c r="B96" s="44" t="s">
        <v>112</v>
      </c>
      <c r="C96" s="60">
        <v>153.917</v>
      </c>
      <c r="D96" s="77"/>
      <c r="E96" s="57">
        <v>103.9078932110436</v>
      </c>
      <c r="F96" s="61">
        <f>65+11.7825609454602</f>
        <v>76.782560945460204</v>
      </c>
      <c r="G96" s="57">
        <v>105.54795537162038</v>
      </c>
      <c r="H96" s="61">
        <f>65+8.06731299204904</f>
        <v>73.06731299204904</v>
      </c>
      <c r="I96" s="61">
        <v>5.48412606871854</v>
      </c>
      <c r="J96" s="61">
        <v>6.9998593799434996</v>
      </c>
      <c r="K96" s="61" t="s">
        <v>191</v>
      </c>
    </row>
    <row r="97" spans="2:37" s="19" customFormat="1" ht="15.75" thickBot="1" x14ac:dyDescent="0.3">
      <c r="B97" s="43" t="s">
        <v>113</v>
      </c>
      <c r="C97" s="60">
        <v>154.28399999999999</v>
      </c>
      <c r="D97" s="77"/>
      <c r="E97" s="57">
        <v>103.22256257967088</v>
      </c>
      <c r="F97" s="61">
        <f>65+11.6359678624775</f>
        <v>76.6359678624775</v>
      </c>
      <c r="G97" s="57">
        <v>102.92945417352433</v>
      </c>
      <c r="H97" s="61">
        <f>65+8.64093089376598</f>
        <v>73.640930893765983</v>
      </c>
      <c r="I97" s="61">
        <v>5.1467082573712393</v>
      </c>
      <c r="J97" s="61">
        <v>5.9534765715655489</v>
      </c>
      <c r="K97" s="61">
        <v>7.6029047276581316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2:37" s="16" customFormat="1" ht="15.75" thickBot="1" x14ac:dyDescent="0.3">
      <c r="B98" s="43" t="s">
        <v>114</v>
      </c>
      <c r="C98" s="60">
        <v>154.32499999999999</v>
      </c>
      <c r="D98" s="77"/>
      <c r="E98" s="57">
        <v>103.10001850052211</v>
      </c>
      <c r="F98" s="61">
        <f>65+12.4218856145548</f>
        <v>77.421885614554796</v>
      </c>
      <c r="G98" s="57">
        <v>100.03546987396845</v>
      </c>
      <c r="H98" s="61">
        <f>65+8.45107419512603</f>
        <v>73.451074195126026</v>
      </c>
      <c r="I98" s="61">
        <v>5.8630914269523071</v>
      </c>
      <c r="J98" s="61">
        <v>6.3465136141295169</v>
      </c>
      <c r="K98" s="63" t="s">
        <v>192</v>
      </c>
    </row>
    <row r="99" spans="2:37" ht="15.75" thickBot="1" x14ac:dyDescent="0.3">
      <c r="B99" s="43" t="s">
        <v>115</v>
      </c>
      <c r="C99" s="60">
        <v>155.036</v>
      </c>
      <c r="D99" s="77"/>
      <c r="E99" s="57">
        <v>97.440262718943458</v>
      </c>
      <c r="F99" s="61">
        <f>65+11.8283441876585</f>
        <v>76.828344187658502</v>
      </c>
      <c r="G99" s="57">
        <v>101.16337301529435</v>
      </c>
      <c r="H99" s="61">
        <f>65+7.91676760324482</f>
        <v>72.916767603244821</v>
      </c>
      <c r="I99" s="61">
        <v>6.0181657804854023</v>
      </c>
      <c r="J99" s="63">
        <v>6.5667239161985744</v>
      </c>
      <c r="K99" s="61">
        <v>6.9043570914871975</v>
      </c>
    </row>
    <row r="100" spans="2:37" ht="15.75" thickBot="1" x14ac:dyDescent="0.3">
      <c r="B100" s="43" t="s">
        <v>116</v>
      </c>
      <c r="C100" s="60">
        <v>155.041</v>
      </c>
      <c r="D100" s="77"/>
      <c r="E100" s="57">
        <v>99.81673315585671</v>
      </c>
      <c r="F100" s="61">
        <f>65+12.3796878143945</f>
        <v>77.379687814394501</v>
      </c>
      <c r="G100" s="57">
        <v>101.86994983421681</v>
      </c>
      <c r="H100" s="61">
        <f>65+8.29416717003774</f>
        <v>73.294167170037738</v>
      </c>
      <c r="I100" s="61">
        <v>5.9376906052394212</v>
      </c>
      <c r="J100" s="61">
        <v>6.84578262471031</v>
      </c>
      <c r="K100" s="63">
        <v>6.4333720955307907</v>
      </c>
    </row>
    <row r="101" spans="2:37" ht="15.75" thickBot="1" x14ac:dyDescent="0.3">
      <c r="B101" s="43" t="s">
        <v>117</v>
      </c>
      <c r="C101" s="60">
        <v>155.876</v>
      </c>
      <c r="D101" s="77"/>
      <c r="E101" s="57">
        <v>100.14977632426087</v>
      </c>
      <c r="F101" s="61">
        <f>65+12.0908647111094</f>
        <v>77.090864711109404</v>
      </c>
      <c r="G101" s="57">
        <v>99.895373901898154</v>
      </c>
      <c r="H101" s="61">
        <f>65+8.22629066597136</f>
        <v>73.226290665971362</v>
      </c>
      <c r="I101" s="61">
        <v>6.0197803683416033</v>
      </c>
      <c r="J101" s="61">
        <v>4.4919119906550184</v>
      </c>
      <c r="K101" s="61">
        <v>6.7364469522452097</v>
      </c>
    </row>
    <row r="102" spans="2:37" ht="15.75" thickBot="1" x14ac:dyDescent="0.3">
      <c r="B102" s="43" t="s">
        <v>118</v>
      </c>
      <c r="C102" s="60">
        <v>156.85599999999999</v>
      </c>
      <c r="D102" s="77"/>
      <c r="E102" s="57">
        <v>105.75715219380895</v>
      </c>
      <c r="F102" s="61">
        <f>65+13.0469578755437</f>
        <v>78.046957875543697</v>
      </c>
      <c r="G102" s="57">
        <v>106.47428811304182</v>
      </c>
      <c r="H102" s="61">
        <f>65+7.82162210351665</f>
        <v>72.821622103516646</v>
      </c>
      <c r="I102" s="61">
        <v>5.8506589599484737</v>
      </c>
      <c r="J102" s="61">
        <v>6.1998031319209002</v>
      </c>
      <c r="K102" s="61">
        <v>6.4813506794315323</v>
      </c>
    </row>
    <row r="103" spans="2:37" ht="15.75" thickBot="1" x14ac:dyDescent="0.3">
      <c r="B103" s="44" t="s">
        <v>119</v>
      </c>
      <c r="C103" s="60">
        <v>157.17500000000001</v>
      </c>
      <c r="D103" s="77"/>
      <c r="E103" s="57">
        <v>105.21014576545835</v>
      </c>
      <c r="F103" s="61">
        <f>65+12.5694517606729</f>
        <v>77.569451760672905</v>
      </c>
      <c r="G103" s="57">
        <v>105.29486112666376</v>
      </c>
      <c r="H103" s="61">
        <f>65+9.24452123061221</f>
        <v>74.244521230612207</v>
      </c>
      <c r="I103" s="61">
        <v>6.419594896863364</v>
      </c>
      <c r="J103" s="61">
        <v>6.5998312559321999</v>
      </c>
      <c r="K103" s="63" t="s">
        <v>193</v>
      </c>
    </row>
    <row r="104" spans="2:37" ht="15.75" thickBot="1" x14ac:dyDescent="0.3">
      <c r="B104" s="44" t="s">
        <v>120</v>
      </c>
      <c r="C104" s="60">
        <v>157.64699999999999</v>
      </c>
      <c r="D104" s="77"/>
      <c r="E104" s="57">
        <v>102.11072974010847</v>
      </c>
      <c r="F104" s="61">
        <f>65+12.6651422763433</f>
        <v>77.665142276343303</v>
      </c>
      <c r="G104" s="57">
        <v>98.937834869275818</v>
      </c>
      <c r="H104" s="61">
        <f>65+9.33346639047289</f>
        <v>74.333466390472893</v>
      </c>
      <c r="I104" s="61">
        <v>5.7207021732136951</v>
      </c>
      <c r="J104" s="61">
        <v>6.087751298395002</v>
      </c>
      <c r="K104" s="61">
        <v>6.7364469522452097</v>
      </c>
    </row>
    <row r="105" spans="2:37" s="19" customFormat="1" ht="15.75" thickBot="1" x14ac:dyDescent="0.3">
      <c r="B105" s="43" t="s">
        <v>121</v>
      </c>
      <c r="C105" s="60">
        <v>158.21899999999999</v>
      </c>
      <c r="D105" s="77"/>
      <c r="E105" s="57">
        <v>98.383046574647551</v>
      </c>
      <c r="F105" s="61">
        <f>65+12.4579459841066</f>
        <v>77.457945984106601</v>
      </c>
      <c r="G105" s="57">
        <v>99.090296093331887</v>
      </c>
      <c r="H105" s="61">
        <f>65+8.93823726439675</f>
        <v>73.938237264396747</v>
      </c>
      <c r="I105" s="61">
        <v>6.1167407781656262</v>
      </c>
      <c r="J105" s="61">
        <v>4.6545822985586307</v>
      </c>
      <c r="K105" s="61">
        <v>6.3862740771075472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2:37" s="18" customFormat="1" ht="15.75" thickBot="1" x14ac:dyDescent="0.3">
      <c r="B106" s="43" t="s">
        <v>122</v>
      </c>
      <c r="C106" s="60">
        <v>158.46199999999999</v>
      </c>
      <c r="D106" s="77"/>
      <c r="E106" s="57">
        <v>98.412492214911225</v>
      </c>
      <c r="F106" s="61">
        <f>65+12.1057079461291</f>
        <v>77.105707946129101</v>
      </c>
      <c r="G106" s="57">
        <v>97.026609745175691</v>
      </c>
      <c r="H106" s="61">
        <f>65+8.46256054312445</f>
        <v>73.462560543124454</v>
      </c>
      <c r="I106" s="61">
        <v>5.9528665034717996</v>
      </c>
      <c r="J106" s="63">
        <v>7.9416250664343941</v>
      </c>
      <c r="K106" s="61">
        <v>8.5060522294816998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2:37" s="16" customFormat="1" ht="15.75" thickBot="1" x14ac:dyDescent="0.3">
      <c r="B107" s="44" t="s">
        <v>123</v>
      </c>
      <c r="C107" s="60">
        <v>158.483</v>
      </c>
      <c r="D107" s="77"/>
      <c r="E107" s="57">
        <v>102.81529729345607</v>
      </c>
      <c r="F107" s="61">
        <f>65+12.188225718115</f>
        <v>77.188225718115007</v>
      </c>
      <c r="G107" s="57">
        <v>99.323678733952477</v>
      </c>
      <c r="H107" s="61">
        <f>65+7.76618789727885</f>
        <v>72.766187897278854</v>
      </c>
      <c r="I107" s="61">
        <v>6.2470080968633628</v>
      </c>
      <c r="J107" s="61">
        <v>6.4075214562122209</v>
      </c>
      <c r="K107" s="63" t="s">
        <v>193</v>
      </c>
    </row>
    <row r="108" spans="2:37" s="16" customFormat="1" ht="15.75" thickBot="1" x14ac:dyDescent="0.3">
      <c r="B108" s="43" t="s">
        <v>124</v>
      </c>
      <c r="C108" s="60">
        <v>161.79599999999999</v>
      </c>
      <c r="D108" s="77"/>
      <c r="E108" s="57">
        <v>102.70918466757942</v>
      </c>
      <c r="F108" s="61">
        <f>65+11.5768856145548</f>
        <v>76.576885614554797</v>
      </c>
      <c r="G108" s="57">
        <v>98.374045926978908</v>
      </c>
      <c r="H108" s="61">
        <f>65+7.32551863957049</f>
        <v>72.32551863957049</v>
      </c>
      <c r="I108" s="61">
        <v>5.9281230519523067</v>
      </c>
      <c r="J108" s="61">
        <v>6.702013381240004</v>
      </c>
      <c r="K108" s="61">
        <v>7.6931370385537736</v>
      </c>
    </row>
    <row r="109" spans="2:37" x14ac:dyDescent="0.25">
      <c r="B109" s="15" t="s">
        <v>219</v>
      </c>
      <c r="E109" s="20"/>
      <c r="F109" s="20"/>
      <c r="G109" s="20"/>
      <c r="H109" s="20"/>
      <c r="I109" s="19"/>
      <c r="J109" s="19"/>
      <c r="K109" s="19"/>
    </row>
    <row r="110" spans="2:37" s="20" customFormat="1" x14ac:dyDescent="0.25">
      <c r="B110" s="15"/>
      <c r="C110"/>
      <c r="D110"/>
      <c r="E110"/>
      <c r="F110"/>
      <c r="G110"/>
      <c r="H110" s="19"/>
      <c r="I110" s="19"/>
      <c r="J110" s="19"/>
      <c r="K110" s="19"/>
    </row>
    <row r="111" spans="2:37" x14ac:dyDescent="0.25">
      <c r="B111" s="15"/>
      <c r="H111" s="19"/>
      <c r="I111" s="19"/>
      <c r="J111" s="19"/>
      <c r="K111" s="19"/>
    </row>
    <row r="112" spans="2:37" ht="18" customHeight="1" x14ac:dyDescent="0.3">
      <c r="B112" s="40" t="s">
        <v>173</v>
      </c>
      <c r="L112" s="19"/>
      <c r="M112" s="19"/>
    </row>
    <row r="113" spans="2:37" ht="14.45" customHeight="1" thickBot="1" x14ac:dyDescent="0.3">
      <c r="L113" s="19"/>
      <c r="M113" s="19"/>
    </row>
    <row r="114" spans="2:37" ht="48" customHeight="1" x14ac:dyDescent="0.25">
      <c r="B114" s="130" t="s">
        <v>205</v>
      </c>
      <c r="C114" s="127" t="s">
        <v>206</v>
      </c>
      <c r="D114" s="99"/>
      <c r="E114" s="105" t="s">
        <v>220</v>
      </c>
      <c r="F114" s="161" t="s">
        <v>45</v>
      </c>
      <c r="G114" s="105" t="s">
        <v>221</v>
      </c>
      <c r="H114" s="105" t="s">
        <v>222</v>
      </c>
      <c r="I114" s="114" t="s">
        <v>34</v>
      </c>
      <c r="J114" s="103" t="s">
        <v>233</v>
      </c>
      <c r="K114" s="101" t="s">
        <v>35</v>
      </c>
      <c r="L114" s="19"/>
      <c r="M114" s="20"/>
    </row>
    <row r="115" spans="2:37" ht="36.75" customHeight="1" thickBot="1" x14ac:dyDescent="0.3">
      <c r="B115" s="131"/>
      <c r="C115" s="128"/>
      <c r="D115" s="126"/>
      <c r="E115" s="107"/>
      <c r="F115" s="162"/>
      <c r="G115" s="107"/>
      <c r="H115" s="107"/>
      <c r="I115" s="115"/>
      <c r="J115" s="104"/>
      <c r="K115" s="102"/>
    </row>
    <row r="116" spans="2:37" ht="15.75" customHeight="1" thickBot="1" x14ac:dyDescent="0.3">
      <c r="B116" s="49" t="s">
        <v>26</v>
      </c>
      <c r="C116" s="163"/>
      <c r="D116" s="164"/>
      <c r="E116" s="164"/>
      <c r="F116" s="164"/>
      <c r="G116" s="164"/>
      <c r="H116" s="164"/>
      <c r="I116" s="164"/>
      <c r="J116" s="164"/>
      <c r="K116" s="165"/>
    </row>
    <row r="117" spans="2:37" ht="15.75" thickBot="1" x14ac:dyDescent="0.3">
      <c r="B117" s="45" t="s">
        <v>125</v>
      </c>
      <c r="C117" s="28">
        <v>139.626</v>
      </c>
      <c r="D117" s="77"/>
      <c r="E117" s="29">
        <v>99.489789926005855</v>
      </c>
      <c r="F117" s="83">
        <f>65+0.32382409292299</f>
        <v>65.32382409292299</v>
      </c>
      <c r="G117" s="29">
        <v>100.92261670173252</v>
      </c>
      <c r="H117" s="29">
        <v>102.80411284515843</v>
      </c>
      <c r="I117" s="30">
        <v>3.4695067990144093</v>
      </c>
      <c r="J117" s="83">
        <v>6.6523319655453843</v>
      </c>
      <c r="K117" s="31">
        <v>6.4896295054315196</v>
      </c>
    </row>
    <row r="118" spans="2:37" ht="15.75" thickBot="1" x14ac:dyDescent="0.3">
      <c r="B118" s="50" t="s">
        <v>126</v>
      </c>
      <c r="C118" s="28">
        <v>140.13</v>
      </c>
      <c r="D118" s="77"/>
      <c r="E118" s="27">
        <v>100.49947955042389</v>
      </c>
      <c r="F118" s="67">
        <f>65+-0.449021030552132</f>
        <v>64.550978969447868</v>
      </c>
      <c r="G118" s="27">
        <v>111.59187415248198</v>
      </c>
      <c r="H118" s="27">
        <v>96.928605847855863</v>
      </c>
      <c r="I118" s="33">
        <v>4.067513717434581</v>
      </c>
      <c r="J118" s="68">
        <v>7.5969999999999995</v>
      </c>
      <c r="K118" s="32" t="s">
        <v>194</v>
      </c>
    </row>
    <row r="119" spans="2:37" ht="17.25" customHeight="1" thickBot="1" x14ac:dyDescent="0.3">
      <c r="B119" s="51" t="s">
        <v>127</v>
      </c>
      <c r="C119" s="28">
        <v>141.464</v>
      </c>
      <c r="D119" s="77"/>
      <c r="E119" s="29">
        <v>99.863560075369776</v>
      </c>
      <c r="F119" s="83">
        <f>65+0.548767175272843</f>
        <v>65.548767175272843</v>
      </c>
      <c r="G119" s="29">
        <v>101.64091225699423</v>
      </c>
      <c r="H119" s="29">
        <v>93.709885904149303</v>
      </c>
      <c r="I119" s="30">
        <v>4.0499433238516325</v>
      </c>
      <c r="J119" s="68">
        <v>6.4129958252836161</v>
      </c>
      <c r="K119" s="32">
        <v>6.6629722543367187</v>
      </c>
    </row>
    <row r="120" spans="2:37" s="16" customFormat="1" ht="16.5" customHeight="1" thickBot="1" x14ac:dyDescent="0.3">
      <c r="B120" s="50" t="s">
        <v>128</v>
      </c>
      <c r="C120" s="28">
        <v>141.84199999999998</v>
      </c>
      <c r="D120" s="77"/>
      <c r="E120" s="27">
        <v>97.830132868077698</v>
      </c>
      <c r="F120" s="67">
        <f>65+0.114518781882765</f>
        <v>65.114518781882765</v>
      </c>
      <c r="G120" s="27">
        <v>97.915990528080371</v>
      </c>
      <c r="H120" s="27">
        <v>95.252181894051972</v>
      </c>
      <c r="I120" s="33">
        <v>3.7529376639956986</v>
      </c>
      <c r="J120" s="84">
        <v>2.4643687910041931</v>
      </c>
      <c r="K120" s="31">
        <v>6.5176792181508851</v>
      </c>
    </row>
    <row r="121" spans="2:37" ht="15.75" thickBot="1" x14ac:dyDescent="0.3">
      <c r="B121" s="50" t="s">
        <v>129</v>
      </c>
      <c r="C121" s="28">
        <v>141.94400000000002</v>
      </c>
      <c r="D121" s="77"/>
      <c r="E121" s="27">
        <v>99.772174720883655</v>
      </c>
      <c r="F121" s="67">
        <f>65+0.910551689895129</f>
        <v>65.910551689895129</v>
      </c>
      <c r="G121" s="27">
        <v>104.15254787901803</v>
      </c>
      <c r="H121" s="27">
        <v>98.440255163692996</v>
      </c>
      <c r="I121" s="33">
        <v>3.9523122418458208</v>
      </c>
      <c r="J121" s="68">
        <v>7.0660979600817422</v>
      </c>
      <c r="K121" s="32">
        <v>6.8179182178479198</v>
      </c>
    </row>
    <row r="122" spans="2:37" s="19" customFormat="1" ht="15.75" thickBot="1" x14ac:dyDescent="0.3">
      <c r="B122" s="89" t="s">
        <v>232</v>
      </c>
      <c r="C122" s="85">
        <v>142</v>
      </c>
      <c r="D122" s="77"/>
      <c r="E122" s="66">
        <v>102</v>
      </c>
      <c r="F122" s="86">
        <f>65+0.780269731128016</f>
        <v>65.780269731128016</v>
      </c>
      <c r="G122" s="66">
        <v>93</v>
      </c>
      <c r="H122" s="66">
        <v>99</v>
      </c>
      <c r="I122" s="67">
        <v>4.0999999999999996</v>
      </c>
      <c r="J122" s="68">
        <v>6.2292970025641505</v>
      </c>
      <c r="K122" s="87" t="s">
        <v>195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</row>
    <row r="123" spans="2:37" ht="15" customHeight="1" thickBot="1" x14ac:dyDescent="0.3">
      <c r="B123" s="50" t="s">
        <v>130</v>
      </c>
      <c r="C123" s="28">
        <v>142.51499999999999</v>
      </c>
      <c r="D123" s="77"/>
      <c r="E123" s="27">
        <v>98.692634678371022</v>
      </c>
      <c r="F123" s="67">
        <f>65+0.593937583562877</f>
        <v>65.593937583562877</v>
      </c>
      <c r="G123" s="27">
        <v>103.0602561628434</v>
      </c>
      <c r="H123" s="27">
        <v>101.45274101835068</v>
      </c>
      <c r="I123" s="33">
        <v>3.8902736400013973</v>
      </c>
      <c r="J123" s="68">
        <v>7.6689973328351293</v>
      </c>
      <c r="K123" s="32">
        <v>6.3275065283522203</v>
      </c>
    </row>
    <row r="124" spans="2:37" ht="15.75" thickBot="1" x14ac:dyDescent="0.3">
      <c r="B124" s="50" t="s">
        <v>131</v>
      </c>
      <c r="C124" s="28">
        <v>142.678</v>
      </c>
      <c r="D124" s="77"/>
      <c r="E124" s="27">
        <v>100.70933167981012</v>
      </c>
      <c r="F124" s="67">
        <f>65+1.12250019736618</f>
        <v>66.122500197366179</v>
      </c>
      <c r="G124" s="27">
        <v>98.972860799721317</v>
      </c>
      <c r="H124" s="27">
        <v>97.000001672610694</v>
      </c>
      <c r="I124" s="33">
        <v>4.1889200265898214</v>
      </c>
      <c r="J124" s="67">
        <v>6.4129958252836161</v>
      </c>
      <c r="K124" s="32">
        <v>6.9502910743229904</v>
      </c>
    </row>
    <row r="125" spans="2:37" s="19" customFormat="1" ht="15.75" thickBot="1" x14ac:dyDescent="0.3">
      <c r="B125" s="50" t="s">
        <v>132</v>
      </c>
      <c r="C125" s="28">
        <v>143.42599999999999</v>
      </c>
      <c r="D125" s="77"/>
      <c r="E125" s="27">
        <v>100.35066935713141</v>
      </c>
      <c r="F125" s="67">
        <f>65+0.441997809695721</f>
        <v>65.441997809695721</v>
      </c>
      <c r="G125" s="27">
        <v>102.87161939081115</v>
      </c>
      <c r="H125" s="27">
        <v>97.498205896961082</v>
      </c>
      <c r="I125" s="33">
        <v>4.2698218852744239</v>
      </c>
      <c r="J125" s="68">
        <v>7.1176779765406772</v>
      </c>
      <c r="K125" s="32">
        <v>7.055475376345159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2:37" ht="15.75" thickBot="1" x14ac:dyDescent="0.3">
      <c r="B126" s="50" t="s">
        <v>133</v>
      </c>
      <c r="C126" s="28">
        <v>143.453</v>
      </c>
      <c r="D126" s="77"/>
      <c r="E126" s="27">
        <v>103.53212447994811</v>
      </c>
      <c r="F126" s="67">
        <f>65+1.36764563611452</f>
        <v>66.367645636114517</v>
      </c>
      <c r="G126" s="27">
        <v>110.9612627144141</v>
      </c>
      <c r="H126" s="27">
        <v>97.775029120123406</v>
      </c>
      <c r="I126" s="33">
        <v>4.2029637174345806</v>
      </c>
      <c r="J126" s="68">
        <v>7.4630905036405037</v>
      </c>
      <c r="K126" s="32" t="s">
        <v>196</v>
      </c>
    </row>
    <row r="127" spans="2:37" ht="15.75" thickBot="1" x14ac:dyDescent="0.3">
      <c r="B127" s="50" t="s">
        <v>134</v>
      </c>
      <c r="C127" s="28">
        <v>144.346</v>
      </c>
      <c r="D127" s="77"/>
      <c r="E127" s="27">
        <v>100.16129477555933</v>
      </c>
      <c r="F127" s="67">
        <f>65+-0.557123156155058</f>
        <v>64.442876843844942</v>
      </c>
      <c r="G127" s="27">
        <v>105.64368872564539</v>
      </c>
      <c r="H127" s="27">
        <v>94.668553744745736</v>
      </c>
      <c r="I127" s="33">
        <v>4.0519196449139088</v>
      </c>
      <c r="J127" s="68">
        <v>7.2253297771135054</v>
      </c>
      <c r="K127" s="32" t="s">
        <v>53</v>
      </c>
    </row>
    <row r="128" spans="2:37" s="19" customFormat="1" ht="15.75" thickBot="1" x14ac:dyDescent="0.3">
      <c r="B128" s="50" t="s">
        <v>135</v>
      </c>
      <c r="C128" s="28">
        <v>144.63400000000001</v>
      </c>
      <c r="D128" s="77"/>
      <c r="E128" s="27">
        <v>99.663172710771462</v>
      </c>
      <c r="F128" s="67">
        <f>65+0.553278962622372</f>
        <v>65.553278962622372</v>
      </c>
      <c r="G128" s="27">
        <v>99.858298966947785</v>
      </c>
      <c r="H128" s="27">
        <v>93.782055988228763</v>
      </c>
      <c r="I128" s="33">
        <v>3.8916902241941216</v>
      </c>
      <c r="J128" s="68">
        <v>6.7816622213918816</v>
      </c>
      <c r="K128" s="32">
        <v>6.9164092925912728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2:37" ht="15.75" thickBot="1" x14ac:dyDescent="0.3">
      <c r="B129" s="50" t="s">
        <v>136</v>
      </c>
      <c r="C129" s="28">
        <v>144.685</v>
      </c>
      <c r="D129" s="77"/>
      <c r="E129" s="27">
        <v>102.2587093358471</v>
      </c>
      <c r="F129" s="67">
        <f>65+0.715572042152147</f>
        <v>65.715572042152147</v>
      </c>
      <c r="G129" s="27">
        <v>101.13743694075595</v>
      </c>
      <c r="H129" s="27">
        <v>96.676203404937397</v>
      </c>
      <c r="I129" s="33">
        <v>4.0217523241941207</v>
      </c>
      <c r="J129" s="68">
        <v>6.5297635943092409</v>
      </c>
      <c r="K129" s="32">
        <v>6.5747516927126819</v>
      </c>
    </row>
    <row r="130" spans="2:37" ht="15.75" thickBot="1" x14ac:dyDescent="0.3">
      <c r="B130" s="50" t="s">
        <v>137</v>
      </c>
      <c r="C130" s="28">
        <v>145.316</v>
      </c>
      <c r="D130" s="77"/>
      <c r="E130" s="27">
        <v>99.074668403622383</v>
      </c>
      <c r="F130" s="67">
        <f>65+1.20586081031725</f>
        <v>66.205860810317247</v>
      </c>
      <c r="G130" s="27">
        <v>97.311324498179886</v>
      </c>
      <c r="H130" s="27">
        <v>98.764656899418725</v>
      </c>
      <c r="I130" s="33">
        <v>3.7591127316388553</v>
      </c>
      <c r="J130" s="68">
        <v>5.4506595542270109</v>
      </c>
      <c r="K130" s="32">
        <v>6.6332000000000004</v>
      </c>
    </row>
    <row r="131" spans="2:37" s="19" customFormat="1" ht="15.75" thickBot="1" x14ac:dyDescent="0.3">
      <c r="B131" s="88" t="s">
        <v>27</v>
      </c>
      <c r="C131" s="166"/>
      <c r="D131" s="167"/>
      <c r="E131" s="167"/>
      <c r="F131" s="167"/>
      <c r="G131" s="167"/>
      <c r="H131" s="167"/>
      <c r="I131" s="167"/>
      <c r="J131" s="167"/>
      <c r="K131" s="168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</row>
    <row r="132" spans="2:37" s="19" customFormat="1" ht="15.75" thickBot="1" x14ac:dyDescent="0.3">
      <c r="B132" s="50" t="s">
        <v>138</v>
      </c>
      <c r="C132" s="8">
        <v>138.85599999999999</v>
      </c>
      <c r="D132" s="77"/>
      <c r="E132" s="29">
        <v>100.30277486415893</v>
      </c>
      <c r="F132" s="83">
        <f>65+1.7073245951149</f>
        <v>66.707324595114898</v>
      </c>
      <c r="G132" s="29">
        <v>95.409165868179798</v>
      </c>
      <c r="H132" s="29">
        <v>103.9714144012345</v>
      </c>
      <c r="I132" s="30">
        <v>3.7415184457045019</v>
      </c>
      <c r="J132" s="68">
        <v>6.7816622213918816</v>
      </c>
      <c r="K132" s="30">
        <v>6.2246809949124771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</row>
    <row r="133" spans="2:37" ht="15.75" thickBot="1" x14ac:dyDescent="0.3">
      <c r="B133" s="45" t="s">
        <v>139</v>
      </c>
      <c r="C133" s="35">
        <v>139.316</v>
      </c>
      <c r="D133" s="77"/>
      <c r="E133" s="27">
        <v>99.188229098853881</v>
      </c>
      <c r="F133" s="83">
        <f>65+1.17993269633089</f>
        <v>66.179932696330894</v>
      </c>
      <c r="G133" s="29">
        <v>94.094277077541207</v>
      </c>
      <c r="H133" s="29">
        <v>102.85146649881015</v>
      </c>
      <c r="I133" s="30">
        <v>3.7720958519982082</v>
      </c>
      <c r="J133" s="84">
        <v>7.4630905036405037</v>
      </c>
      <c r="K133" s="31">
        <v>6.9502910743229904</v>
      </c>
    </row>
    <row r="134" spans="2:37" ht="15.75" thickBot="1" x14ac:dyDescent="0.3">
      <c r="B134" s="50" t="s">
        <v>140</v>
      </c>
      <c r="C134" s="8">
        <v>140.55500000000001</v>
      </c>
      <c r="D134" s="77"/>
      <c r="E134" s="27">
        <v>99.64563559850248</v>
      </c>
      <c r="F134" s="67">
        <f>65+0.321323748064856</f>
        <v>65.321323748064856</v>
      </c>
      <c r="G134" s="27">
        <v>98.15319130775714</v>
      </c>
      <c r="H134" s="27">
        <v>104.86407399648513</v>
      </c>
      <c r="I134" s="33">
        <v>3.4696996715499813</v>
      </c>
      <c r="J134" s="68">
        <v>5.5633658908752013</v>
      </c>
      <c r="K134" s="32">
        <v>6.6629722543367187</v>
      </c>
    </row>
    <row r="135" spans="2:37" ht="15.75" thickBot="1" x14ac:dyDescent="0.3">
      <c r="B135" s="44" t="s">
        <v>197</v>
      </c>
      <c r="C135" s="8">
        <v>141.40800000000002</v>
      </c>
      <c r="D135" s="77"/>
      <c r="E135" s="27">
        <v>99.566945507106695</v>
      </c>
      <c r="F135" s="67">
        <f>65+0.639312302781192</f>
        <v>65.639312302781192</v>
      </c>
      <c r="G135" s="27">
        <v>104.90148092673049</v>
      </c>
      <c r="H135" s="27">
        <v>100.05405536366166</v>
      </c>
      <c r="I135" s="33">
        <v>3.1011833174345815</v>
      </c>
      <c r="J135" s="68">
        <v>7.5969999999999995</v>
      </c>
      <c r="K135" s="32" t="s">
        <v>198</v>
      </c>
    </row>
    <row r="136" spans="2:37" ht="15.75" thickBot="1" x14ac:dyDescent="0.3">
      <c r="B136" s="50" t="s">
        <v>141</v>
      </c>
      <c r="C136" s="8">
        <v>141.75200000000001</v>
      </c>
      <c r="D136" s="77"/>
      <c r="E136" s="27">
        <v>100.52285571015591</v>
      </c>
      <c r="F136" s="67">
        <f>65+1.50026122426704</f>
        <v>66.500261224267035</v>
      </c>
      <c r="G136" s="27">
        <v>103.52828802983764</v>
      </c>
      <c r="H136" s="27">
        <v>103.97935594063885</v>
      </c>
      <c r="I136" s="33">
        <v>3.7732854840302732</v>
      </c>
      <c r="J136" s="68">
        <v>7.7451186510271182</v>
      </c>
      <c r="K136" s="32">
        <v>6.1995644738719662</v>
      </c>
    </row>
    <row r="137" spans="2:37" s="19" customFormat="1" ht="15.75" thickBot="1" x14ac:dyDescent="0.3">
      <c r="B137" s="50" t="s">
        <v>142</v>
      </c>
      <c r="C137" s="8">
        <v>141.8125</v>
      </c>
      <c r="D137" s="77"/>
      <c r="E137" s="27">
        <v>100.54339547550823</v>
      </c>
      <c r="F137" s="67">
        <f>65+0.754864713642732</f>
        <v>65.754864713642732</v>
      </c>
      <c r="G137" s="27">
        <v>98.887204119679808</v>
      </c>
      <c r="H137" s="27">
        <v>104.20557036932347</v>
      </c>
      <c r="I137" s="33">
        <v>3.6492709339685936</v>
      </c>
      <c r="J137" s="68">
        <v>7.7451186510271182</v>
      </c>
      <c r="K137" s="32">
        <v>6.3014328038753602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2:37" ht="15.75" thickBot="1" x14ac:dyDescent="0.3">
      <c r="B138" s="50" t="s">
        <v>143</v>
      </c>
      <c r="C138" s="35">
        <v>141.87299999999999</v>
      </c>
      <c r="D138" s="77"/>
      <c r="E138" s="27">
        <v>101.82951939226413</v>
      </c>
      <c r="F138" s="67">
        <f>65+1.51986471364276</f>
        <v>66.519864713642761</v>
      </c>
      <c r="G138" s="27">
        <v>97.084049538954432</v>
      </c>
      <c r="H138" s="27">
        <v>101.97859284043807</v>
      </c>
      <c r="I138" s="33">
        <v>3.3873876306562689</v>
      </c>
      <c r="J138" s="68">
        <v>1</v>
      </c>
      <c r="K138" s="32">
        <v>6.6629722543367187</v>
      </c>
    </row>
    <row r="139" spans="2:37" ht="15.75" thickBot="1" x14ac:dyDescent="0.3">
      <c r="B139" s="50" t="s">
        <v>144</v>
      </c>
      <c r="C139" s="8">
        <v>141.881</v>
      </c>
      <c r="D139" s="77"/>
      <c r="E139" s="27">
        <v>102.0546524448425</v>
      </c>
      <c r="F139" s="67">
        <f>65+1.5482516949811</f>
        <v>66.548251694981104</v>
      </c>
      <c r="G139" s="27">
        <v>108.47169089577658</v>
      </c>
      <c r="H139" s="27">
        <v>102.40496725347347</v>
      </c>
      <c r="I139" s="33">
        <v>3.68357208951626</v>
      </c>
      <c r="J139" s="68">
        <v>7.5969999999999995</v>
      </c>
      <c r="K139" s="32">
        <v>6.6332000000000004</v>
      </c>
    </row>
    <row r="140" spans="2:37" s="16" customFormat="1" ht="15.75" thickBot="1" x14ac:dyDescent="0.3">
      <c r="B140" s="44" t="s">
        <v>145</v>
      </c>
      <c r="C140" s="8">
        <v>141.96100000000001</v>
      </c>
      <c r="D140" s="77"/>
      <c r="E140" s="27">
        <v>99.737459838665828</v>
      </c>
      <c r="F140" s="67">
        <f>65+1.56264563611452</f>
        <v>66.562645636114524</v>
      </c>
      <c r="G140" s="27">
        <v>105.99519763962947</v>
      </c>
      <c r="H140" s="27">
        <v>102.53521253789071</v>
      </c>
      <c r="I140" s="33">
        <v>3.1149841674345815</v>
      </c>
      <c r="J140" s="68">
        <v>7.4630905036405037</v>
      </c>
      <c r="K140" s="32" t="s">
        <v>195</v>
      </c>
    </row>
    <row r="141" spans="2:37" ht="15.75" thickBot="1" x14ac:dyDescent="0.3">
      <c r="B141" s="50" t="s">
        <v>146</v>
      </c>
      <c r="C141" s="8">
        <v>142.10599999999999</v>
      </c>
      <c r="D141" s="77"/>
      <c r="E141" s="27">
        <v>101.23806232639164</v>
      </c>
      <c r="F141" s="67">
        <f>65+1.88506502357733</f>
        <v>66.885065023577326</v>
      </c>
      <c r="G141" s="27">
        <v>96.387943862623928</v>
      </c>
      <c r="H141" s="27">
        <v>100.28888760803247</v>
      </c>
      <c r="I141" s="33">
        <v>3.4876654931654985</v>
      </c>
      <c r="J141" s="68">
        <v>3.9219927235184082</v>
      </c>
      <c r="K141" s="32">
        <v>7.3687956706776436</v>
      </c>
    </row>
    <row r="142" spans="2:37" ht="15.75" thickBot="1" x14ac:dyDescent="0.3">
      <c r="B142" s="44" t="s">
        <v>147</v>
      </c>
      <c r="C142" s="8">
        <v>142.29500000000002</v>
      </c>
      <c r="D142" s="77"/>
      <c r="E142" s="27">
        <v>101.39260983777586</v>
      </c>
      <c r="F142" s="67">
        <f>65+0.506280967425681</f>
        <v>65.506280967425681</v>
      </c>
      <c r="G142" s="27">
        <v>90.109820460584899</v>
      </c>
      <c r="H142" s="27">
        <v>104.13718937207179</v>
      </c>
      <c r="I142" s="33">
        <v>3.2139610193846586</v>
      </c>
      <c r="J142" s="68">
        <v>7.1176779765406772</v>
      </c>
      <c r="K142" s="32" t="s">
        <v>109</v>
      </c>
    </row>
    <row r="143" spans="2:37" s="19" customFormat="1" x14ac:dyDescent="0.25">
      <c r="B143" s="12" t="s">
        <v>23</v>
      </c>
      <c r="C143" s="9"/>
      <c r="D143" s="1"/>
      <c r="E143" s="3"/>
      <c r="F143" s="5"/>
      <c r="G143" s="5"/>
      <c r="H143" s="16"/>
      <c r="I143" s="16"/>
      <c r="J143" s="21"/>
      <c r="K143" s="21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2:37" s="20" customFormat="1" ht="14.45" customHeight="1" x14ac:dyDescent="0.25">
      <c r="B144" s="12"/>
      <c r="C144" s="9"/>
      <c r="D144" s="1"/>
      <c r="E144" s="3"/>
      <c r="F144" s="5"/>
      <c r="G144" s="5"/>
      <c r="H144" s="16"/>
      <c r="I144" s="16"/>
      <c r="J144" s="16"/>
      <c r="K144" s="16"/>
    </row>
    <row r="145" spans="1:37" ht="18.75" x14ac:dyDescent="0.3">
      <c r="B145" s="40" t="s">
        <v>174</v>
      </c>
    </row>
    <row r="146" spans="1:37" ht="15.75" thickBot="1" x14ac:dyDescent="0.3"/>
    <row r="147" spans="1:37" ht="41.25" customHeight="1" x14ac:dyDescent="0.25">
      <c r="B147" s="130" t="s">
        <v>205</v>
      </c>
      <c r="C147" s="127" t="s">
        <v>206</v>
      </c>
      <c r="D147" s="99"/>
      <c r="E147" s="105" t="s">
        <v>209</v>
      </c>
      <c r="F147" s="161" t="s">
        <v>25</v>
      </c>
      <c r="G147" s="105" t="s">
        <v>210</v>
      </c>
      <c r="H147" s="101" t="s">
        <v>36</v>
      </c>
      <c r="I147" s="103" t="s">
        <v>234</v>
      </c>
      <c r="J147" s="101" t="s">
        <v>35</v>
      </c>
      <c r="L147" s="20"/>
    </row>
    <row r="148" spans="1:37" ht="42" customHeight="1" thickBot="1" x14ac:dyDescent="0.3">
      <c r="B148" s="131"/>
      <c r="C148" s="128"/>
      <c r="D148" s="126"/>
      <c r="E148" s="107"/>
      <c r="F148" s="107"/>
      <c r="G148" s="107"/>
      <c r="H148" s="102"/>
      <c r="I148" s="104"/>
      <c r="J148" s="102"/>
    </row>
    <row r="149" spans="1:37" ht="17.25" customHeight="1" thickBot="1" x14ac:dyDescent="0.3">
      <c r="B149" s="54" t="s">
        <v>26</v>
      </c>
      <c r="C149" s="111"/>
      <c r="D149" s="112"/>
      <c r="E149" s="112"/>
      <c r="F149" s="112"/>
      <c r="G149" s="112"/>
      <c r="H149" s="112"/>
      <c r="I149" s="112"/>
      <c r="J149" s="113"/>
    </row>
    <row r="150" spans="1:37" ht="15.75" thickBot="1" x14ac:dyDescent="0.3">
      <c r="A150" s="6"/>
      <c r="B150" s="75" t="s">
        <v>149</v>
      </c>
      <c r="C150" s="60">
        <v>142.95099999999999</v>
      </c>
      <c r="D150" s="77"/>
      <c r="E150" s="66">
        <v>100.20423673037764</v>
      </c>
      <c r="F150" s="67">
        <f>65+0.705470270132665</f>
        <v>65.705470270132665</v>
      </c>
      <c r="G150" s="66">
        <v>116.94212632231918</v>
      </c>
      <c r="H150" s="67">
        <v>3.7556220632216855</v>
      </c>
      <c r="I150" s="90">
        <v>5.8849269671482816</v>
      </c>
      <c r="J150" s="68">
        <v>4.4019569380006889</v>
      </c>
    </row>
    <row r="151" spans="1:37" ht="24" customHeight="1" thickBot="1" x14ac:dyDescent="0.3">
      <c r="A151" s="6"/>
      <c r="B151" s="50" t="s">
        <v>150</v>
      </c>
      <c r="C151" s="60">
        <v>146.476</v>
      </c>
      <c r="D151" s="77"/>
      <c r="E151" s="66">
        <v>96.183315763492786</v>
      </c>
      <c r="F151" s="67">
        <f>65+2.08095516365495</f>
        <v>67.080955163654949</v>
      </c>
      <c r="G151" s="66">
        <v>111.91139902869212</v>
      </c>
      <c r="H151" s="67">
        <v>3.409917000477674</v>
      </c>
      <c r="I151" s="91">
        <v>3.71267175219847</v>
      </c>
      <c r="J151" s="69">
        <v>7.2327280910963356</v>
      </c>
    </row>
    <row r="152" spans="1:37" ht="15.75" thickBot="1" x14ac:dyDescent="0.3">
      <c r="A152" s="138"/>
      <c r="B152" s="50" t="s">
        <v>151</v>
      </c>
      <c r="C152" s="60">
        <v>147.07</v>
      </c>
      <c r="D152" s="77"/>
      <c r="E152" s="66">
        <v>97.2687142004512</v>
      </c>
      <c r="F152" s="67">
        <f>65+0.495859955091134</f>
        <v>65.495859955091134</v>
      </c>
      <c r="G152" s="66">
        <v>109.48713782232208</v>
      </c>
      <c r="H152" s="67">
        <v>3.7210958814360291</v>
      </c>
      <c r="I152" s="92">
        <v>6.3672827724953063</v>
      </c>
      <c r="J152" s="68">
        <v>5.6041201434679699</v>
      </c>
    </row>
    <row r="153" spans="1:37" ht="15.75" thickBot="1" x14ac:dyDescent="0.3">
      <c r="A153" s="139"/>
      <c r="B153" s="54" t="s">
        <v>27</v>
      </c>
      <c r="C153" s="140"/>
      <c r="D153" s="140"/>
      <c r="E153" s="140"/>
      <c r="F153" s="140"/>
      <c r="G153" s="140"/>
      <c r="H153" s="140"/>
      <c r="I153" s="140"/>
      <c r="J153" s="140"/>
    </row>
    <row r="154" spans="1:37" s="18" customFormat="1" ht="15.75" thickBot="1" x14ac:dyDescent="0.3">
      <c r="A154" s="139"/>
      <c r="B154" s="70" t="s">
        <v>199</v>
      </c>
      <c r="C154" s="60">
        <v>134.86199999999999</v>
      </c>
      <c r="D154" s="77"/>
      <c r="E154" s="66">
        <v>105.53334022829614</v>
      </c>
      <c r="F154" s="67">
        <f>65+3.24468214255396</f>
        <v>68.244682142553955</v>
      </c>
      <c r="G154" s="27">
        <v>97.764079987766081</v>
      </c>
      <c r="H154" s="67">
        <v>3.6020520630358304</v>
      </c>
      <c r="I154" s="67">
        <v>3.1722319881450325</v>
      </c>
      <c r="J154" s="68">
        <v>8.1510300358669934</v>
      </c>
      <c r="K154" s="20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5.75" thickBot="1" x14ac:dyDescent="0.3">
      <c r="A155" s="139"/>
      <c r="B155" s="50" t="s">
        <v>152</v>
      </c>
      <c r="C155" s="60">
        <v>137.74700000000001</v>
      </c>
      <c r="D155" s="77"/>
      <c r="E155" s="66">
        <v>101.02226991120516</v>
      </c>
      <c r="F155" s="67">
        <f>65+5.4646302369808</f>
        <v>70.464630236980796</v>
      </c>
      <c r="G155" s="27">
        <v>101.01178217322651</v>
      </c>
      <c r="H155" s="67">
        <v>4.2451733526750415</v>
      </c>
      <c r="I155" s="68">
        <v>3.4985238344604275</v>
      </c>
      <c r="J155" s="68">
        <v>6.2272757079002607</v>
      </c>
    </row>
    <row r="156" spans="1:37" ht="15.75" customHeight="1" thickBot="1" x14ac:dyDescent="0.3">
      <c r="A156" s="52"/>
      <c r="B156" s="51" t="s">
        <v>153</v>
      </c>
      <c r="C156" s="60">
        <v>140.66200000000001</v>
      </c>
      <c r="D156" s="77"/>
      <c r="E156" s="66">
        <v>101.48951635413162</v>
      </c>
      <c r="F156" s="67">
        <f>65+4.77804330165399</f>
        <v>69.778043301653994</v>
      </c>
      <c r="G156" s="27">
        <v>108.57791401794248</v>
      </c>
      <c r="H156" s="67">
        <v>4.1584614709658094</v>
      </c>
      <c r="I156" s="68">
        <v>6.0369745191780755</v>
      </c>
      <c r="J156" s="68">
        <v>7.1660152672391195</v>
      </c>
    </row>
    <row r="157" spans="1:37" s="19" customFormat="1" ht="15.75" customHeight="1" thickBot="1" x14ac:dyDescent="0.3">
      <c r="A157" s="52"/>
      <c r="B157" s="51" t="s">
        <v>154</v>
      </c>
      <c r="C157" s="60">
        <v>141.376</v>
      </c>
      <c r="D157" s="77"/>
      <c r="E157" s="66">
        <v>99.908082164608189</v>
      </c>
      <c r="F157" s="67">
        <f>65+6.94427614792991</f>
        <v>71.944276147929912</v>
      </c>
      <c r="G157" s="27">
        <v>81.694404539266102</v>
      </c>
      <c r="H157" s="67">
        <v>4.5034254833519665</v>
      </c>
      <c r="I157" s="68">
        <v>6.1160027739264375</v>
      </c>
      <c r="J157" s="68">
        <v>6.9790472543871793</v>
      </c>
      <c r="K157" s="16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1:37" ht="15.75" thickBot="1" x14ac:dyDescent="0.3">
      <c r="A158" s="53"/>
      <c r="B158" s="50" t="s">
        <v>155</v>
      </c>
      <c r="C158" s="60">
        <v>141.49299999999999</v>
      </c>
      <c r="D158" s="77"/>
      <c r="E158" s="66">
        <v>99.91153335014971</v>
      </c>
      <c r="F158" s="67">
        <f>65+4.92895516365495</f>
        <v>69.928955163654948</v>
      </c>
      <c r="G158" s="27">
        <v>95.125226238658428</v>
      </c>
      <c r="H158" s="67">
        <v>4.3141517732049453</v>
      </c>
      <c r="I158" s="68">
        <v>7.1383877954847845</v>
      </c>
      <c r="J158" s="68">
        <v>6.4530901076009775</v>
      </c>
      <c r="K158" s="20"/>
    </row>
    <row r="159" spans="1:37" ht="15.75" thickBot="1" x14ac:dyDescent="0.3">
      <c r="A159" s="53"/>
      <c r="B159" s="51" t="s">
        <v>156</v>
      </c>
      <c r="C159" s="60">
        <v>141.91200000000001</v>
      </c>
      <c r="D159" s="77"/>
      <c r="E159" s="66">
        <v>99.058421536826486</v>
      </c>
      <c r="F159" s="67">
        <f>65+5.05295516365496</f>
        <v>70.052955163654957</v>
      </c>
      <c r="G159" s="27">
        <v>79.451112720093136</v>
      </c>
      <c r="H159" s="67">
        <v>4.6366158210072568</v>
      </c>
      <c r="I159" s="67">
        <v>4.1693644310505062</v>
      </c>
      <c r="J159" s="68">
        <v>6.5987503253514017</v>
      </c>
    </row>
    <row r="160" spans="1:37" ht="15.75" thickBot="1" x14ac:dyDescent="0.3">
      <c r="A160" s="53"/>
      <c r="B160" s="50" t="s">
        <v>157</v>
      </c>
      <c r="C160" s="60">
        <v>142.12</v>
      </c>
      <c r="D160" s="77"/>
      <c r="E160" s="66">
        <v>99.511575619902501</v>
      </c>
      <c r="F160" s="67">
        <f>65+5.51695516365494</f>
        <v>70.516955163654941</v>
      </c>
      <c r="G160" s="27">
        <v>95.448253873727538</v>
      </c>
      <c r="H160" s="67">
        <v>4.2957128952230068</v>
      </c>
      <c r="I160" s="67">
        <v>7.018162468818395</v>
      </c>
      <c r="J160" s="68">
        <v>6.5007000980274494</v>
      </c>
      <c r="K160" s="20"/>
    </row>
    <row r="161" spans="1:37" s="20" customFormat="1" ht="15.75" thickBot="1" x14ac:dyDescent="0.3">
      <c r="A161" s="53"/>
      <c r="B161" s="51" t="s">
        <v>158</v>
      </c>
      <c r="C161" s="60">
        <v>142.16899999999998</v>
      </c>
      <c r="D161" s="77"/>
      <c r="E161" s="66">
        <v>100.5885641883787</v>
      </c>
      <c r="F161" s="67">
        <f>65+3.72940459509242</f>
        <v>68.729404595092419</v>
      </c>
      <c r="G161" s="27">
        <v>110.02057555737821</v>
      </c>
      <c r="H161" s="67">
        <v>4.5739833326829675</v>
      </c>
      <c r="I161" s="67">
        <v>6.2387828770630875</v>
      </c>
      <c r="J161" s="68">
        <v>8.3068189269750654</v>
      </c>
      <c r="K161" s="16"/>
    </row>
    <row r="162" spans="1:37" ht="15.75" thickBot="1" x14ac:dyDescent="0.3">
      <c r="A162" s="53"/>
      <c r="B162" s="51" t="s">
        <v>200</v>
      </c>
      <c r="C162" s="60">
        <v>43973</v>
      </c>
      <c r="D162" s="77"/>
      <c r="E162" s="66">
        <v>102.76489880740377</v>
      </c>
      <c r="F162" s="67">
        <f>65+5.25301547588728</f>
        <v>70.253015475887281</v>
      </c>
      <c r="G162" s="27">
        <v>92.653432842753887</v>
      </c>
      <c r="H162" s="67">
        <v>4.73283981303583</v>
      </c>
      <c r="I162" s="67">
        <v>6.9048245896822866</v>
      </c>
      <c r="J162" s="68">
        <v>5.9389952629896179</v>
      </c>
      <c r="K162" s="20"/>
    </row>
    <row r="163" spans="1:37" s="19" customFormat="1" ht="15.75" thickBot="1" x14ac:dyDescent="0.3">
      <c r="A163" s="53"/>
      <c r="B163" s="51" t="s">
        <v>164</v>
      </c>
      <c r="C163" s="60">
        <v>143.79633333333334</v>
      </c>
      <c r="D163" s="77"/>
      <c r="E163" s="66">
        <v>101.17324701177164</v>
      </c>
      <c r="F163" s="67">
        <f>65+1.07197571067483</f>
        <v>66.071975710674835</v>
      </c>
      <c r="G163" s="27">
        <v>114.92427948973996</v>
      </c>
      <c r="H163" s="67">
        <v>3.6802214825061039</v>
      </c>
      <c r="I163" s="68">
        <v>5.6011766742003193</v>
      </c>
      <c r="J163" s="68">
        <v>6.7009784690003444</v>
      </c>
      <c r="K163" s="16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</row>
    <row r="164" spans="1:37" ht="15.75" thickBot="1" x14ac:dyDescent="0.3">
      <c r="A164" s="53"/>
      <c r="B164" s="51" t="s">
        <v>159</v>
      </c>
      <c r="C164" s="60">
        <v>144.16399999999999</v>
      </c>
      <c r="D164" s="77"/>
      <c r="E164" s="66">
        <v>101.05779887782589</v>
      </c>
      <c r="F164" s="67">
        <f>65+4.9504503993992</f>
        <v>69.950450399399202</v>
      </c>
      <c r="G164" s="27">
        <v>101.04179983695613</v>
      </c>
      <c r="H164" s="67">
        <v>4.0513306485459202</v>
      </c>
      <c r="I164" s="68">
        <v>6.5966689782720316</v>
      </c>
      <c r="J164" s="68">
        <v>7.1660152672391195</v>
      </c>
    </row>
    <row r="165" spans="1:37" s="19" customFormat="1" ht="15.75" thickBot="1" x14ac:dyDescent="0.3">
      <c r="A165" s="53"/>
      <c r="B165" s="50" t="s">
        <v>160</v>
      </c>
      <c r="C165" s="60">
        <v>144.67500000000001</v>
      </c>
      <c r="D165" s="77"/>
      <c r="E165" s="66">
        <v>100.39186402175568</v>
      </c>
      <c r="F165" s="67">
        <f>65+5.15712383012779</f>
        <v>70.157123830127787</v>
      </c>
      <c r="G165" s="27">
        <v>96.329408763384521</v>
      </c>
      <c r="H165" s="67">
        <v>4.3523601368413098</v>
      </c>
      <c r="I165" s="68">
        <v>6.3672827724953063</v>
      </c>
      <c r="J165" s="68">
        <v>6.0185154704409412</v>
      </c>
      <c r="K165" s="16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</row>
    <row r="166" spans="1:37" ht="18" customHeight="1" thickBot="1" x14ac:dyDescent="0.3">
      <c r="A166" s="53"/>
      <c r="B166" s="50" t="s">
        <v>161</v>
      </c>
      <c r="C166" s="60">
        <v>145.53800000000001</v>
      </c>
      <c r="D166" s="77"/>
      <c r="E166" s="66">
        <v>97.536633390366418</v>
      </c>
      <c r="F166" s="67">
        <f>65+5.53995516365492</f>
        <v>70.539955163654923</v>
      </c>
      <c r="G166" s="27">
        <v>81.85289753716971</v>
      </c>
      <c r="H166" s="67">
        <v>4.7976075071379345</v>
      </c>
      <c r="I166" s="68">
        <v>6.797310734579205</v>
      </c>
      <c r="J166" s="68">
        <v>5.5340946348753253</v>
      </c>
    </row>
    <row r="167" spans="1:37" ht="27" thickBot="1" x14ac:dyDescent="0.3">
      <c r="A167" s="53"/>
      <c r="B167" s="51" t="s">
        <v>162</v>
      </c>
      <c r="C167" s="60">
        <v>146.02733333333333</v>
      </c>
      <c r="D167" s="77"/>
      <c r="E167" s="66">
        <v>99.615992802335612</v>
      </c>
      <c r="F167" s="67">
        <f>65+2.69594281459659</f>
        <v>67.695942814596592</v>
      </c>
      <c r="G167" s="27">
        <v>100.56454317684212</v>
      </c>
      <c r="H167" s="67">
        <v>4.0854008166853006</v>
      </c>
      <c r="I167" s="68">
        <v>7.8226130627529447</v>
      </c>
      <c r="J167" s="68">
        <v>6.0590817760434073</v>
      </c>
    </row>
    <row r="168" spans="1:37" ht="15.75" thickBot="1" x14ac:dyDescent="0.3">
      <c r="A168" s="53"/>
      <c r="B168" s="51" t="s">
        <v>163</v>
      </c>
      <c r="C168" s="60">
        <v>147.41</v>
      </c>
      <c r="D168" s="77"/>
      <c r="E168" s="66">
        <v>102.25887176542766</v>
      </c>
      <c r="F168" s="67">
        <f>65+2.62273792842575</f>
        <v>67.622737928425749</v>
      </c>
      <c r="G168" s="27">
        <v>99.305763839187321</v>
      </c>
      <c r="H168" s="67">
        <v>4.0840783236914922</v>
      </c>
      <c r="I168" s="67">
        <v>2.6413837983410255</v>
      </c>
      <c r="J168" s="68">
        <v>6.8079689783217026</v>
      </c>
      <c r="K168" s="20"/>
    </row>
    <row r="169" spans="1:37" x14ac:dyDescent="0.25">
      <c r="A169" s="53"/>
      <c r="B169" s="12" t="s">
        <v>23</v>
      </c>
      <c r="D169" s="7"/>
      <c r="G169" s="19"/>
      <c r="H169" s="19"/>
      <c r="I169" s="19"/>
      <c r="J169" s="19"/>
      <c r="K169" s="19"/>
    </row>
    <row r="170" spans="1:37" x14ac:dyDescent="0.25">
      <c r="B170" s="13"/>
      <c r="G170" s="19"/>
      <c r="H170" s="19"/>
      <c r="I170" s="19"/>
      <c r="J170" s="19"/>
      <c r="K170" s="19"/>
    </row>
    <row r="171" spans="1:37" s="19" customFormat="1" ht="18.75" x14ac:dyDescent="0.3">
      <c r="B171" s="40" t="s">
        <v>175</v>
      </c>
      <c r="C171"/>
      <c r="D171"/>
      <c r="E171"/>
      <c r="F171"/>
      <c r="G171"/>
      <c r="H171" s="16"/>
      <c r="I171" s="16"/>
      <c r="J171" s="16"/>
      <c r="K171" s="16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</row>
    <row r="172" spans="1:37" ht="15.75" thickBot="1" x14ac:dyDescent="0.3">
      <c r="J172" s="23"/>
      <c r="L172" s="19"/>
    </row>
    <row r="173" spans="1:37" ht="9.75" customHeight="1" x14ac:dyDescent="0.25">
      <c r="B173" s="130" t="s">
        <v>205</v>
      </c>
      <c r="C173" s="127" t="s">
        <v>206</v>
      </c>
      <c r="D173" s="99"/>
      <c r="E173" s="108" t="s">
        <v>201</v>
      </c>
      <c r="F173" s="119"/>
      <c r="G173" s="108" t="s">
        <v>0</v>
      </c>
      <c r="H173" s="119"/>
      <c r="I173" s="159" t="s">
        <v>32</v>
      </c>
      <c r="J173" s="156" t="s">
        <v>223</v>
      </c>
      <c r="K173" s="23"/>
      <c r="L173" s="19"/>
    </row>
    <row r="174" spans="1:37" ht="24" customHeight="1" thickBot="1" x14ac:dyDescent="0.3">
      <c r="B174" s="124"/>
      <c r="C174" s="110"/>
      <c r="D174" s="100"/>
      <c r="E174" s="109"/>
      <c r="F174" s="120"/>
      <c r="G174" s="109"/>
      <c r="H174" s="120"/>
      <c r="I174" s="160"/>
      <c r="J174" s="157"/>
    </row>
    <row r="175" spans="1:37" ht="50.25" customHeight="1" x14ac:dyDescent="0.25">
      <c r="B175" s="124"/>
      <c r="C175" s="110"/>
      <c r="D175" s="100"/>
      <c r="E175" s="105" t="s">
        <v>211</v>
      </c>
      <c r="F175" s="105" t="s">
        <v>218</v>
      </c>
      <c r="G175" s="105" t="s">
        <v>212</v>
      </c>
      <c r="H175" s="101" t="s">
        <v>37</v>
      </c>
      <c r="I175" s="160"/>
      <c r="J175" s="157"/>
    </row>
    <row r="176" spans="1:37" ht="15.75" thickBot="1" x14ac:dyDescent="0.3">
      <c r="B176" s="124"/>
      <c r="C176" s="110"/>
      <c r="D176" s="100"/>
      <c r="E176" s="106"/>
      <c r="F176" s="106"/>
      <c r="G176" s="106"/>
      <c r="H176" s="116"/>
      <c r="I176" s="160"/>
      <c r="J176" s="158"/>
    </row>
    <row r="177" spans="2:37" ht="15.75" thickBot="1" x14ac:dyDescent="0.3">
      <c r="B177" s="36" t="s">
        <v>1</v>
      </c>
      <c r="C177" s="60">
        <v>39240.950000000004</v>
      </c>
      <c r="D177" s="77"/>
      <c r="E177" s="62">
        <v>100</v>
      </c>
      <c r="F177" s="61">
        <f>65+8.3</f>
        <v>73.3</v>
      </c>
      <c r="G177" s="66">
        <v>99</v>
      </c>
      <c r="H177" s="61">
        <f>65+0.0999999999999943</f>
        <v>65.099999999999994</v>
      </c>
      <c r="I177" s="61">
        <v>4.8940649999999994</v>
      </c>
      <c r="J177" s="71">
        <v>7.2</v>
      </c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2:37" ht="15.75" thickBot="1" x14ac:dyDescent="0.3">
      <c r="B178" s="34" t="s">
        <v>2</v>
      </c>
      <c r="C178" s="60">
        <v>39241.100000000006</v>
      </c>
      <c r="D178" s="77"/>
      <c r="E178" s="62">
        <v>102</v>
      </c>
      <c r="F178" s="61">
        <f>65+6.7</f>
        <v>71.7</v>
      </c>
      <c r="G178" s="66">
        <v>101.93333333333334</v>
      </c>
      <c r="H178" s="61">
        <f>65+-0.5</f>
        <v>64.5</v>
      </c>
      <c r="I178" s="61">
        <v>4.7310739999999996</v>
      </c>
      <c r="J178" s="71">
        <v>7.2</v>
      </c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2:37" ht="15.75" thickBot="1" x14ac:dyDescent="0.3">
      <c r="B179" s="34" t="s">
        <v>3</v>
      </c>
      <c r="C179" s="60">
        <v>39241.710000000006</v>
      </c>
      <c r="D179" s="77"/>
      <c r="E179" s="62">
        <v>102</v>
      </c>
      <c r="F179" s="61">
        <f>65+6.8</f>
        <v>71.8</v>
      </c>
      <c r="G179" s="66">
        <v>102.52380952380952</v>
      </c>
      <c r="H179" s="61">
        <f>65+-0.700000000000003</f>
        <v>64.3</v>
      </c>
      <c r="I179" s="61">
        <v>4.5206250000000008</v>
      </c>
      <c r="J179" s="71">
        <v>7.2</v>
      </c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2:37" ht="15.75" thickBot="1" x14ac:dyDescent="0.3">
      <c r="B180" s="34" t="s">
        <v>4</v>
      </c>
      <c r="C180" s="60">
        <v>39241.860000000008</v>
      </c>
      <c r="D180" s="77"/>
      <c r="E180" s="62">
        <v>95</v>
      </c>
      <c r="F180" s="61">
        <f>65+8.5</f>
        <v>73.5</v>
      </c>
      <c r="G180" s="66">
        <v>95.478260869565219</v>
      </c>
      <c r="H180" s="61">
        <f>65+0</f>
        <v>65</v>
      </c>
      <c r="I180" s="61">
        <v>5.2281821739130425</v>
      </c>
      <c r="J180" s="71">
        <v>6.9</v>
      </c>
      <c r="AJ180"/>
      <c r="AK180"/>
    </row>
    <row r="181" spans="2:37" ht="15.75" thickBot="1" x14ac:dyDescent="0.3">
      <c r="B181" s="34" t="s">
        <v>5</v>
      </c>
      <c r="C181" s="60">
        <v>39242.670000000006</v>
      </c>
      <c r="D181" s="77"/>
      <c r="E181" s="62">
        <v>100</v>
      </c>
      <c r="F181" s="61">
        <f>65+7.3</f>
        <v>72.3</v>
      </c>
      <c r="G181" s="66">
        <v>97.5</v>
      </c>
      <c r="H181" s="61">
        <f>65+-0.200000000000003</f>
        <v>64.8</v>
      </c>
      <c r="I181" s="61">
        <v>5.1858149999999998</v>
      </c>
      <c r="J181" s="71">
        <v>7</v>
      </c>
      <c r="AJ181"/>
      <c r="AK181"/>
    </row>
    <row r="182" spans="2:37" ht="15.75" thickBot="1" x14ac:dyDescent="0.3">
      <c r="B182" s="34" t="s">
        <v>6</v>
      </c>
      <c r="C182" s="60">
        <v>39243.530000000006</v>
      </c>
      <c r="D182" s="77"/>
      <c r="E182" s="62">
        <v>96</v>
      </c>
      <c r="F182" s="61">
        <f>65+9.09999999999999</f>
        <v>74.099999999999994</v>
      </c>
      <c r="G182" s="66">
        <v>98.571428571428569</v>
      </c>
      <c r="H182" s="61">
        <f>65+0.900000000000006</f>
        <v>65.900000000000006</v>
      </c>
      <c r="I182" s="61">
        <v>5.2675049999999999</v>
      </c>
      <c r="J182" s="71">
        <v>6.7</v>
      </c>
      <c r="AJ182"/>
      <c r="AK182"/>
    </row>
    <row r="183" spans="2:37" ht="15.75" thickBot="1" x14ac:dyDescent="0.3">
      <c r="B183" s="37" t="s">
        <v>7</v>
      </c>
      <c r="C183" s="60">
        <v>39244.19000000001</v>
      </c>
      <c r="D183" s="77"/>
      <c r="E183" s="62">
        <v>101</v>
      </c>
      <c r="F183" s="61">
        <f>65+8.09999999999999</f>
        <v>73.099999999999994</v>
      </c>
      <c r="G183" s="66">
        <v>97.5</v>
      </c>
      <c r="H183" s="61">
        <f>65+0.900000000000006</f>
        <v>65.900000000000006</v>
      </c>
      <c r="I183" s="61">
        <v>3.7737450000000003</v>
      </c>
      <c r="J183" s="71">
        <v>6.6</v>
      </c>
      <c r="AJ183"/>
      <c r="AK183"/>
    </row>
    <row r="184" spans="2:37" ht="15.75" thickBot="1" x14ac:dyDescent="0.3">
      <c r="B184" s="43" t="s">
        <v>165</v>
      </c>
      <c r="C184" s="60">
        <v>43629</v>
      </c>
      <c r="D184" s="77"/>
      <c r="E184" s="62">
        <v>101</v>
      </c>
      <c r="F184" s="61">
        <f>65+9.5</f>
        <v>74.5</v>
      </c>
      <c r="G184" s="66">
        <v>98.5</v>
      </c>
      <c r="H184" s="61">
        <f>65+2.3</f>
        <v>67.3</v>
      </c>
      <c r="I184" s="61">
        <v>5.2033200000000015</v>
      </c>
      <c r="J184" s="72" t="s">
        <v>53</v>
      </c>
      <c r="K184" s="20"/>
      <c r="AJ184"/>
      <c r="AK184"/>
    </row>
    <row r="185" spans="2:37" ht="15.75" thickBot="1" x14ac:dyDescent="0.3">
      <c r="B185" s="36" t="s">
        <v>8</v>
      </c>
      <c r="C185" s="60">
        <v>39249.93</v>
      </c>
      <c r="D185" s="77"/>
      <c r="E185" s="62">
        <v>96</v>
      </c>
      <c r="F185" s="61">
        <f>65+7.5</f>
        <v>72.5</v>
      </c>
      <c r="G185" s="66">
        <v>96.516129032258064</v>
      </c>
      <c r="H185" s="61">
        <f>65+-0.400000000000006</f>
        <v>64.599999999999994</v>
      </c>
      <c r="I185" s="61">
        <v>5.5714896774193559</v>
      </c>
      <c r="J185" s="71">
        <v>6.8</v>
      </c>
      <c r="AJ185"/>
      <c r="AK185"/>
    </row>
    <row r="186" spans="2:37" s="16" customFormat="1" x14ac:dyDescent="0.25">
      <c r="B186" s="10"/>
      <c r="C186"/>
      <c r="D186"/>
      <c r="E186"/>
      <c r="F186"/>
      <c r="G186"/>
    </row>
    <row r="187" spans="2:37" s="20" customFormat="1" ht="15.75" x14ac:dyDescent="0.25">
      <c r="B187" s="41" t="s">
        <v>176</v>
      </c>
      <c r="C187"/>
      <c r="D187"/>
      <c r="E187"/>
      <c r="F187"/>
      <c r="G187"/>
      <c r="H187" s="16"/>
      <c r="I187" s="16"/>
      <c r="J187" s="16"/>
      <c r="K187" s="16"/>
    </row>
    <row r="188" spans="2:37" ht="15.75" thickBot="1" x14ac:dyDescent="0.3">
      <c r="AJ188"/>
      <c r="AK188"/>
    </row>
    <row r="189" spans="2:37" x14ac:dyDescent="0.25">
      <c r="B189" s="130" t="s">
        <v>205</v>
      </c>
      <c r="C189" s="101" t="s">
        <v>224</v>
      </c>
      <c r="D189" s="99"/>
      <c r="E189" s="132" t="s">
        <v>203</v>
      </c>
      <c r="F189" s="108" t="s">
        <v>225</v>
      </c>
      <c r="G189" s="95" t="s">
        <v>226</v>
      </c>
      <c r="H189" s="96"/>
      <c r="AJ189"/>
      <c r="AK189"/>
    </row>
    <row r="190" spans="2:37" ht="28.5" customHeight="1" thickBot="1" x14ac:dyDescent="0.3">
      <c r="B190" s="124"/>
      <c r="C190" s="110"/>
      <c r="D190" s="100"/>
      <c r="E190" s="133"/>
      <c r="F190" s="109"/>
      <c r="G190" s="97"/>
      <c r="H190" s="98"/>
      <c r="AJ190"/>
      <c r="AK190"/>
    </row>
    <row r="191" spans="2:37" ht="12.75" customHeight="1" x14ac:dyDescent="0.25">
      <c r="B191" s="124"/>
      <c r="C191" s="110"/>
      <c r="D191" s="100"/>
      <c r="E191" s="105" t="s">
        <v>213</v>
      </c>
      <c r="F191" s="105" t="s">
        <v>214</v>
      </c>
      <c r="G191" s="93" t="s">
        <v>20</v>
      </c>
      <c r="H191" s="93" t="s">
        <v>38</v>
      </c>
      <c r="AJ191"/>
      <c r="AK191"/>
    </row>
    <row r="192" spans="2:37" ht="62.25" customHeight="1" thickBot="1" x14ac:dyDescent="0.3">
      <c r="B192" s="124"/>
      <c r="C192" s="110"/>
      <c r="D192" s="100"/>
      <c r="E192" s="106"/>
      <c r="F192" s="106"/>
      <c r="G192" s="94"/>
      <c r="H192" s="94"/>
      <c r="AJ192"/>
      <c r="AK192"/>
    </row>
    <row r="193" spans="2:37" ht="15.75" thickBot="1" x14ac:dyDescent="0.3">
      <c r="B193" s="55" t="s">
        <v>9</v>
      </c>
      <c r="C193" s="27">
        <v>423.10199999999998</v>
      </c>
      <c r="D193" s="80"/>
      <c r="E193" s="73">
        <v>73.28151557971448</v>
      </c>
      <c r="F193" s="73">
        <v>91.833149051033033</v>
      </c>
      <c r="G193" s="61">
        <v>4.8359320000000006</v>
      </c>
      <c r="H193" s="61">
        <v>7.9399798863636342</v>
      </c>
    </row>
    <row r="194" spans="2:37" ht="15.75" thickBot="1" x14ac:dyDescent="0.3">
      <c r="B194" s="55" t="s">
        <v>166</v>
      </c>
      <c r="C194" s="27">
        <v>639.57899999999995</v>
      </c>
      <c r="D194" s="80"/>
      <c r="E194" s="73">
        <v>80.426878776829497</v>
      </c>
      <c r="F194" s="73">
        <v>94.737488160106281</v>
      </c>
      <c r="G194" s="67">
        <v>5.82172</v>
      </c>
      <c r="H194" s="67">
        <v>7.5844251052631595</v>
      </c>
    </row>
    <row r="195" spans="2:37" ht="15.75" thickBot="1" x14ac:dyDescent="0.3">
      <c r="B195" s="55" t="s">
        <v>44</v>
      </c>
      <c r="C195" s="27">
        <v>819.62599999999998</v>
      </c>
      <c r="D195" s="80"/>
      <c r="E195" s="73">
        <v>97.62315258512659</v>
      </c>
      <c r="F195" s="73">
        <v>98.112097541351034</v>
      </c>
      <c r="G195" s="67">
        <v>6.5606439999999999</v>
      </c>
      <c r="H195" s="67">
        <v>7.5496505000000003</v>
      </c>
    </row>
    <row r="196" spans="2:37" ht="18" customHeight="1" thickBot="1" x14ac:dyDescent="0.3">
      <c r="B196" s="55" t="s">
        <v>10</v>
      </c>
      <c r="C196" s="27">
        <v>827.41200000000003</v>
      </c>
      <c r="D196" s="80"/>
      <c r="E196" s="73">
        <v>114.19100897677082</v>
      </c>
      <c r="F196" s="73">
        <v>103.84683377436662</v>
      </c>
      <c r="G196" s="67">
        <v>7.2787179999999996</v>
      </c>
      <c r="H196" s="67">
        <v>6.17822988</v>
      </c>
      <c r="I196" s="20"/>
      <c r="J196" s="20"/>
      <c r="K196" s="20"/>
    </row>
    <row r="197" spans="2:37" ht="18" customHeight="1" thickBot="1" x14ac:dyDescent="0.3">
      <c r="B197" s="55" t="s">
        <v>24</v>
      </c>
      <c r="C197" s="27">
        <v>848.33</v>
      </c>
      <c r="D197" s="80"/>
      <c r="E197" s="73">
        <v>93.355476743470504</v>
      </c>
      <c r="F197" s="73">
        <v>97.020961287064836</v>
      </c>
      <c r="G197" s="67">
        <v>5.6181445714285712</v>
      </c>
      <c r="H197" s="67">
        <v>7.1358783333333342</v>
      </c>
    </row>
    <row r="198" spans="2:37" ht="15.75" thickBot="1" x14ac:dyDescent="0.3">
      <c r="B198" s="55" t="s">
        <v>19</v>
      </c>
      <c r="C198" s="27">
        <v>868.82299999999998</v>
      </c>
      <c r="D198" s="80"/>
      <c r="E198" s="73">
        <v>96.953027506770368</v>
      </c>
      <c r="F198" s="73">
        <v>96.236712989148401</v>
      </c>
      <c r="G198" s="67">
        <v>5.8592897142857145</v>
      </c>
      <c r="H198" s="67">
        <v>6.6704279999999994</v>
      </c>
    </row>
    <row r="199" spans="2:37" s="16" customFormat="1" ht="15.75" thickBot="1" x14ac:dyDescent="0.3">
      <c r="B199" s="55" t="s">
        <v>167</v>
      </c>
      <c r="C199" s="27">
        <v>937.90899999999999</v>
      </c>
      <c r="D199" s="80"/>
      <c r="E199" s="73">
        <v>91.396535462755324</v>
      </c>
      <c r="F199" s="73">
        <v>99.087118609003539</v>
      </c>
      <c r="G199" s="67">
        <v>6.488768363636364</v>
      </c>
      <c r="H199" s="67">
        <v>8.3317898260869576</v>
      </c>
    </row>
    <row r="200" spans="2:37" s="16" customFormat="1" ht="17.25" customHeight="1" thickBot="1" x14ac:dyDescent="0.3">
      <c r="B200" s="55" t="s">
        <v>11</v>
      </c>
      <c r="C200" s="27">
        <v>956.79899999999998</v>
      </c>
      <c r="D200" s="80"/>
      <c r="E200" s="73">
        <v>95.145750450431009</v>
      </c>
      <c r="F200" s="73">
        <v>99.209335209920255</v>
      </c>
      <c r="G200" s="67">
        <v>6.3752670588235283</v>
      </c>
      <c r="H200" s="67">
        <v>6.284463705882354</v>
      </c>
    </row>
    <row r="201" spans="2:37" s="20" customFormat="1" ht="17.25" customHeight="1" thickBot="1" x14ac:dyDescent="0.3">
      <c r="B201" s="55" t="s">
        <v>39</v>
      </c>
      <c r="C201" s="27">
        <v>959.00800000000004</v>
      </c>
      <c r="D201" s="80"/>
      <c r="E201" s="73">
        <v>115.64764494044999</v>
      </c>
      <c r="F201" s="73">
        <v>102.04110703522882</v>
      </c>
      <c r="G201" s="67">
        <v>6.9466192000000007</v>
      </c>
      <c r="H201" s="67">
        <v>7.0008908000000005</v>
      </c>
      <c r="I201" s="16"/>
      <c r="J201" s="16"/>
      <c r="K201" s="16"/>
    </row>
    <row r="202" spans="2:37" ht="15.75" thickBot="1" x14ac:dyDescent="0.3">
      <c r="B202" s="76" t="s">
        <v>231</v>
      </c>
      <c r="C202" s="27">
        <v>1078</v>
      </c>
      <c r="D202" s="81"/>
      <c r="E202" s="73">
        <v>124.47301912736283</v>
      </c>
      <c r="F202" s="73">
        <v>110.25937310704256</v>
      </c>
      <c r="G202" s="67">
        <v>6.9509560000000015</v>
      </c>
      <c r="H202" s="67">
        <v>4.9785750000000011</v>
      </c>
      <c r="I202" s="20"/>
      <c r="J202" s="20"/>
      <c r="K202" s="20"/>
    </row>
    <row r="203" spans="2:37" ht="15.75" thickBot="1" x14ac:dyDescent="0.3">
      <c r="B203" s="55" t="s">
        <v>29</v>
      </c>
      <c r="C203" s="27">
        <v>1091.6969999999999</v>
      </c>
      <c r="D203" s="80"/>
      <c r="E203" s="73">
        <v>109.77477755633164</v>
      </c>
      <c r="F203" s="73">
        <v>104.22240972023458</v>
      </c>
      <c r="G203" s="67">
        <v>6.9349783157894755</v>
      </c>
      <c r="H203" s="67">
        <v>6.876227947368422</v>
      </c>
    </row>
    <row r="204" spans="2:37" ht="15.75" thickBot="1" x14ac:dyDescent="0.3">
      <c r="B204" s="55" t="s">
        <v>12</v>
      </c>
      <c r="C204" s="27">
        <v>1096.8530000000001</v>
      </c>
      <c r="D204" s="80"/>
      <c r="E204" s="73">
        <v>113.05298563600792</v>
      </c>
      <c r="F204" s="73">
        <v>104.15976665044269</v>
      </c>
      <c r="G204" s="67">
        <v>7.2587019999999995</v>
      </c>
      <c r="H204" s="67">
        <v>7.4799369999999996</v>
      </c>
      <c r="I204" s="20"/>
      <c r="J204" s="20"/>
      <c r="K204" s="20"/>
    </row>
    <row r="205" spans="2:37" s="19" customFormat="1" ht="15.75" thickBot="1" x14ac:dyDescent="0.3">
      <c r="B205" s="55" t="s">
        <v>13</v>
      </c>
      <c r="C205" s="27">
        <v>1155.163</v>
      </c>
      <c r="D205" s="80"/>
      <c r="E205" s="73">
        <v>101.88821433844333</v>
      </c>
      <c r="F205" s="73">
        <v>99.698954874609782</v>
      </c>
      <c r="G205" s="68">
        <v>6.3454720000000009</v>
      </c>
      <c r="H205" s="68">
        <v>5.8545025833333337</v>
      </c>
      <c r="I205" s="16"/>
      <c r="J205" s="16"/>
      <c r="K205" s="16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</row>
    <row r="206" spans="2:37" ht="15.75" thickBot="1" x14ac:dyDescent="0.3">
      <c r="B206" s="55" t="s">
        <v>14</v>
      </c>
      <c r="C206" s="27">
        <v>1174.01</v>
      </c>
      <c r="D206" s="80"/>
      <c r="E206" s="73">
        <v>111.5103202605827</v>
      </c>
      <c r="F206" s="73">
        <v>101.85521163061412</v>
      </c>
      <c r="G206" s="67">
        <v>7.5246602105263154</v>
      </c>
      <c r="H206" s="67">
        <v>7.832666500000002</v>
      </c>
    </row>
    <row r="207" spans="2:37" s="19" customFormat="1" ht="15.75" thickBot="1" x14ac:dyDescent="0.3">
      <c r="B207" s="55" t="s">
        <v>15</v>
      </c>
      <c r="C207" s="27">
        <v>1470.4169999999999</v>
      </c>
      <c r="D207" s="80"/>
      <c r="E207" s="73">
        <v>108.55788410882425</v>
      </c>
      <c r="F207" s="73">
        <v>101.60761473248574</v>
      </c>
      <c r="G207" s="67">
        <v>6.6784789333333343</v>
      </c>
      <c r="H207" s="67">
        <v>4.8997744666666669</v>
      </c>
      <c r="I207" s="16"/>
      <c r="J207" s="16"/>
      <c r="K207" s="16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</row>
    <row r="208" spans="2:37" ht="15.75" thickBot="1" x14ac:dyDescent="0.3">
      <c r="B208" s="55" t="s">
        <v>28</v>
      </c>
      <c r="C208" s="27">
        <v>1591.4670000000001</v>
      </c>
      <c r="D208" s="80"/>
      <c r="E208" s="73">
        <v>114.91817299168581</v>
      </c>
      <c r="F208" s="73">
        <v>102.84861226721804</v>
      </c>
      <c r="G208" s="67">
        <v>6.9864229473684212</v>
      </c>
      <c r="H208" s="67">
        <v>6.2554327894736836</v>
      </c>
    </row>
    <row r="210" spans="2:38" s="16" customFormat="1" ht="18.75" x14ac:dyDescent="0.3">
      <c r="B210" s="40" t="s">
        <v>177</v>
      </c>
      <c r="C210"/>
      <c r="D210"/>
      <c r="E210"/>
      <c r="F210"/>
      <c r="G210"/>
    </row>
    <row r="211" spans="2:38" ht="15.75" thickBot="1" x14ac:dyDescent="0.3">
      <c r="C211" s="10"/>
      <c r="H211"/>
    </row>
    <row r="212" spans="2:38" x14ac:dyDescent="0.25">
      <c r="B212" s="130" t="s">
        <v>205</v>
      </c>
      <c r="C212" s="99"/>
      <c r="D212" s="95" t="s">
        <v>0</v>
      </c>
      <c r="E212" s="134"/>
      <c r="F212" s="134"/>
      <c r="G212" s="96"/>
      <c r="H212"/>
    </row>
    <row r="213" spans="2:38" ht="15.75" thickBot="1" x14ac:dyDescent="0.3">
      <c r="B213" s="124"/>
      <c r="C213" s="100"/>
      <c r="D213" s="135"/>
      <c r="E213" s="136"/>
      <c r="F213" s="136"/>
      <c r="G213" s="137"/>
      <c r="H213"/>
    </row>
    <row r="214" spans="2:38" ht="35.25" customHeight="1" x14ac:dyDescent="0.25">
      <c r="B214" s="124"/>
      <c r="C214" s="100"/>
      <c r="D214" s="105" t="s">
        <v>215</v>
      </c>
      <c r="E214" s="105" t="s">
        <v>216</v>
      </c>
      <c r="F214" s="101" t="s">
        <v>204</v>
      </c>
      <c r="G214" s="101" t="s">
        <v>22</v>
      </c>
      <c r="H214"/>
      <c r="AL214" s="16"/>
    </row>
    <row r="215" spans="2:38" ht="50.25" customHeight="1" thickBot="1" x14ac:dyDescent="0.3">
      <c r="B215" s="124"/>
      <c r="C215" s="100"/>
      <c r="D215" s="106"/>
      <c r="E215" s="106"/>
      <c r="F215" s="110"/>
      <c r="G215" s="110"/>
      <c r="H215"/>
      <c r="AL215" s="16"/>
    </row>
    <row r="216" spans="2:38" ht="15.75" customHeight="1" thickBot="1" x14ac:dyDescent="0.3">
      <c r="B216" s="54" t="s">
        <v>26</v>
      </c>
      <c r="C216" s="111"/>
      <c r="D216" s="112"/>
      <c r="E216" s="112"/>
      <c r="F216" s="112"/>
      <c r="G216" s="113"/>
      <c r="H216" s="19"/>
      <c r="I216" s="20"/>
      <c r="J216" s="20"/>
      <c r="K216" s="20"/>
      <c r="AL216" s="16"/>
    </row>
    <row r="217" spans="2:38" ht="15.75" thickBot="1" x14ac:dyDescent="0.3">
      <c r="B217" s="38" t="s">
        <v>17</v>
      </c>
      <c r="C217" s="82"/>
      <c r="D217" s="27">
        <v>112</v>
      </c>
      <c r="E217" s="27">
        <v>97.035714285714292</v>
      </c>
      <c r="F217" s="33">
        <v>17.079999999999998</v>
      </c>
      <c r="G217" s="27">
        <v>45.2</v>
      </c>
      <c r="H217"/>
      <c r="AL217" s="16"/>
    </row>
    <row r="218" spans="2:38" ht="15.75" thickBot="1" x14ac:dyDescent="0.3">
      <c r="B218" s="38" t="s">
        <v>16</v>
      </c>
      <c r="C218" s="82"/>
      <c r="D218" s="27">
        <v>101</v>
      </c>
      <c r="E218" s="27">
        <v>99.586956521739125</v>
      </c>
      <c r="F218" s="33">
        <v>17.54</v>
      </c>
      <c r="G218" s="27">
        <v>57.3</v>
      </c>
      <c r="H218"/>
      <c r="AL218" s="16"/>
    </row>
    <row r="219" spans="2:38" s="19" customFormat="1" ht="18.75" customHeight="1" thickBot="1" x14ac:dyDescent="0.3">
      <c r="B219" s="38" t="s">
        <v>18</v>
      </c>
      <c r="C219" s="82"/>
      <c r="D219" s="27">
        <v>99</v>
      </c>
      <c r="E219" s="27">
        <v>105.39130434782609</v>
      </c>
      <c r="F219" s="33">
        <v>16.98</v>
      </c>
      <c r="G219" s="27">
        <v>55.7</v>
      </c>
      <c r="H219"/>
      <c r="I219" s="16"/>
      <c r="J219" s="16"/>
      <c r="K219" s="16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</row>
    <row r="220" spans="2:38" ht="15.75" thickBot="1" x14ac:dyDescent="0.3">
      <c r="B220" s="38" t="s">
        <v>168</v>
      </c>
      <c r="C220" s="82"/>
      <c r="D220" s="27">
        <v>85</v>
      </c>
      <c r="E220" s="27">
        <v>98.543478260869563</v>
      </c>
      <c r="F220" s="33">
        <v>17.100000000000001</v>
      </c>
      <c r="G220" s="27">
        <v>59.8</v>
      </c>
      <c r="H220"/>
      <c r="AL220" s="16"/>
    </row>
    <row r="221" spans="2:38" ht="15.75" thickBot="1" x14ac:dyDescent="0.3">
      <c r="B221" s="38" t="s">
        <v>21</v>
      </c>
      <c r="C221" s="82"/>
      <c r="D221" s="27">
        <v>100</v>
      </c>
      <c r="E221" s="27">
        <v>99.565217391304344</v>
      </c>
      <c r="F221" s="33">
        <v>18.23</v>
      </c>
      <c r="G221" s="27">
        <v>60.3</v>
      </c>
      <c r="H221"/>
      <c r="AL221" s="16"/>
    </row>
    <row r="222" spans="2:38" ht="15.75" thickBot="1" x14ac:dyDescent="0.3">
      <c r="B222" s="38" t="s">
        <v>30</v>
      </c>
      <c r="C222" s="82"/>
      <c r="D222" s="27">
        <v>95</v>
      </c>
      <c r="E222" s="27">
        <v>93.741935483870961</v>
      </c>
      <c r="F222" s="33">
        <v>17.440000000000001</v>
      </c>
      <c r="G222" s="27">
        <v>58.2</v>
      </c>
      <c r="H222" s="17"/>
      <c r="I222" s="17"/>
      <c r="J222" s="17"/>
      <c r="K222" s="17"/>
      <c r="AL222" s="16"/>
    </row>
    <row r="223" spans="2:38" ht="15.75" thickBot="1" x14ac:dyDescent="0.3">
      <c r="B223" s="38" t="s">
        <v>31</v>
      </c>
      <c r="C223" s="82"/>
      <c r="D223" s="27">
        <v>105</v>
      </c>
      <c r="E223" s="27">
        <v>99.967741935483872</v>
      </c>
      <c r="F223" s="33">
        <v>16.18</v>
      </c>
      <c r="G223" s="27">
        <v>45.9</v>
      </c>
      <c r="AL223" s="16"/>
    </row>
    <row r="224" spans="2:38" ht="15.75" thickBot="1" x14ac:dyDescent="0.3">
      <c r="B224" s="38" t="s">
        <v>40</v>
      </c>
      <c r="C224" s="82"/>
      <c r="D224" s="27">
        <v>110</v>
      </c>
      <c r="E224" s="27">
        <v>101.3125</v>
      </c>
      <c r="F224" s="33">
        <v>17.86</v>
      </c>
      <c r="G224" s="27">
        <v>54.5</v>
      </c>
      <c r="H224" s="20"/>
      <c r="I224" s="20"/>
      <c r="J224" s="20"/>
      <c r="K224" s="20"/>
      <c r="AL224" s="16"/>
    </row>
    <row r="225" spans="2:38" s="17" customFormat="1" ht="15.75" thickBot="1" x14ac:dyDescent="0.3">
      <c r="B225" s="38" t="s">
        <v>41</v>
      </c>
      <c r="C225" s="82"/>
      <c r="D225" s="27">
        <v>95</v>
      </c>
      <c r="E225" s="27">
        <v>106.18181818181819</v>
      </c>
      <c r="F225" s="33">
        <v>17.14</v>
      </c>
      <c r="G225" s="27">
        <v>58.5</v>
      </c>
      <c r="H225" s="20"/>
      <c r="I225" s="20"/>
      <c r="J225" s="20"/>
      <c r="K225" s="20"/>
    </row>
    <row r="226" spans="2:38" s="16" customFormat="1" ht="15.75" thickBot="1" x14ac:dyDescent="0.3">
      <c r="B226" s="54" t="s">
        <v>27</v>
      </c>
      <c r="C226" s="141"/>
      <c r="D226" s="142"/>
      <c r="E226" s="142"/>
      <c r="F226" s="142"/>
      <c r="G226" s="143"/>
      <c r="H226" s="20"/>
      <c r="I226" s="20"/>
      <c r="J226" s="20"/>
      <c r="K226" s="20"/>
    </row>
    <row r="227" spans="2:38" s="20" customFormat="1" ht="15.75" thickBot="1" x14ac:dyDescent="0.3">
      <c r="B227" s="74" t="s">
        <v>227</v>
      </c>
      <c r="C227" s="82"/>
      <c r="D227" s="66">
        <v>105</v>
      </c>
      <c r="E227" s="66">
        <v>100.51785714285714</v>
      </c>
      <c r="F227" s="67">
        <v>18.13</v>
      </c>
      <c r="G227" s="66">
        <v>55.5</v>
      </c>
      <c r="H227" s="16"/>
      <c r="I227" s="16"/>
      <c r="J227" s="16"/>
      <c r="K227" s="16"/>
    </row>
    <row r="228" spans="2:38" s="20" customFormat="1" ht="15.75" thickBot="1" x14ac:dyDescent="0.3">
      <c r="B228" s="74" t="s">
        <v>228</v>
      </c>
      <c r="C228" s="82"/>
      <c r="D228" s="66">
        <v>102</v>
      </c>
      <c r="E228" s="66">
        <v>99.260869565217391</v>
      </c>
      <c r="F228" s="67">
        <v>17.940000000000001</v>
      </c>
      <c r="G228" s="66">
        <v>50</v>
      </c>
      <c r="H228" s="16"/>
      <c r="I228" s="16"/>
      <c r="J228" s="16"/>
      <c r="K228" s="16"/>
    </row>
    <row r="229" spans="2:38" s="20" customFormat="1" ht="15.75" thickBot="1" x14ac:dyDescent="0.3">
      <c r="B229" s="74" t="s">
        <v>229</v>
      </c>
      <c r="C229" s="82"/>
      <c r="D229" s="66">
        <v>103</v>
      </c>
      <c r="E229" s="66">
        <v>103.56521739130434</v>
      </c>
      <c r="F229" s="67">
        <v>17.760000000000002</v>
      </c>
      <c r="G229" s="66">
        <v>57.4</v>
      </c>
      <c r="H229" s="16"/>
      <c r="I229" s="16"/>
      <c r="J229" s="16"/>
      <c r="K229" s="16"/>
    </row>
    <row r="230" spans="2:38" ht="15.75" thickBot="1" x14ac:dyDescent="0.3">
      <c r="B230" s="74" t="s">
        <v>230</v>
      </c>
      <c r="C230" s="82"/>
      <c r="D230" s="66">
        <v>98</v>
      </c>
      <c r="E230" s="66">
        <v>101.16666666666667</v>
      </c>
      <c r="F230" s="67">
        <v>18</v>
      </c>
      <c r="G230" s="66">
        <v>56.5</v>
      </c>
      <c r="AL230" s="16"/>
    </row>
    <row r="231" spans="2:38" x14ac:dyDescent="0.25">
      <c r="G231" s="16"/>
      <c r="AL231" s="16"/>
    </row>
    <row r="232" spans="2:38" x14ac:dyDescent="0.25">
      <c r="G232" s="16"/>
      <c r="AL232" s="16"/>
    </row>
    <row r="233" spans="2:38" x14ac:dyDescent="0.25">
      <c r="G233" s="16"/>
      <c r="AL233" s="16"/>
    </row>
    <row r="234" spans="2:38" x14ac:dyDescent="0.25">
      <c r="G234" s="16"/>
    </row>
    <row r="235" spans="2:38" x14ac:dyDescent="0.25">
      <c r="G235" s="16"/>
    </row>
    <row r="236" spans="2:38" x14ac:dyDescent="0.25">
      <c r="G236" s="16"/>
    </row>
    <row r="237" spans="2:38" x14ac:dyDescent="0.25">
      <c r="G237" s="16"/>
    </row>
    <row r="238" spans="2:38" x14ac:dyDescent="0.25">
      <c r="G238" s="16"/>
    </row>
  </sheetData>
  <mergeCells count="96">
    <mergeCell ref="C216:G216"/>
    <mergeCell ref="C226:G226"/>
    <mergeCell ref="C7:K7"/>
    <mergeCell ref="C12:K12"/>
    <mergeCell ref="C23:K23"/>
    <mergeCell ref="C37:K37"/>
    <mergeCell ref="C93:K93"/>
    <mergeCell ref="C66:K66"/>
    <mergeCell ref="J173:J176"/>
    <mergeCell ref="I173:I176"/>
    <mergeCell ref="F114:F115"/>
    <mergeCell ref="G64:G65"/>
    <mergeCell ref="G114:G115"/>
    <mergeCell ref="F147:F148"/>
    <mergeCell ref="C116:K116"/>
    <mergeCell ref="C131:K131"/>
    <mergeCell ref="A152:A155"/>
    <mergeCell ref="B173:B176"/>
    <mergeCell ref="C173:C176"/>
    <mergeCell ref="D173:D176"/>
    <mergeCell ref="E173:F174"/>
    <mergeCell ref="C153:J153"/>
    <mergeCell ref="G173:H174"/>
    <mergeCell ref="H175:H176"/>
    <mergeCell ref="G175:G176"/>
    <mergeCell ref="B212:B215"/>
    <mergeCell ref="B114:B115"/>
    <mergeCell ref="C114:C115"/>
    <mergeCell ref="D114:D115"/>
    <mergeCell ref="E114:E115"/>
    <mergeCell ref="B147:B148"/>
    <mergeCell ref="C147:C148"/>
    <mergeCell ref="D147:D148"/>
    <mergeCell ref="E147:E148"/>
    <mergeCell ref="E214:E215"/>
    <mergeCell ref="B189:B192"/>
    <mergeCell ref="C189:C192"/>
    <mergeCell ref="D189:D192"/>
    <mergeCell ref="E189:E190"/>
    <mergeCell ref="D212:G213"/>
    <mergeCell ref="G191:G192"/>
    <mergeCell ref="C62:C65"/>
    <mergeCell ref="D62:D65"/>
    <mergeCell ref="E62:F63"/>
    <mergeCell ref="E19:F20"/>
    <mergeCell ref="B62:B65"/>
    <mergeCell ref="E64:E65"/>
    <mergeCell ref="F64:F65"/>
    <mergeCell ref="B19:B22"/>
    <mergeCell ref="C19:C22"/>
    <mergeCell ref="D19:D22"/>
    <mergeCell ref="E21:E22"/>
    <mergeCell ref="F21:F22"/>
    <mergeCell ref="E5:E6"/>
    <mergeCell ref="F5:F6"/>
    <mergeCell ref="B3:B6"/>
    <mergeCell ref="C3:C6"/>
    <mergeCell ref="D3:D6"/>
    <mergeCell ref="E3:F4"/>
    <mergeCell ref="I3:I6"/>
    <mergeCell ref="G5:G6"/>
    <mergeCell ref="H5:H6"/>
    <mergeCell ref="J3:J6"/>
    <mergeCell ref="K3:K6"/>
    <mergeCell ref="G3:H4"/>
    <mergeCell ref="I114:I115"/>
    <mergeCell ref="H114:H115"/>
    <mergeCell ref="J114:J115"/>
    <mergeCell ref="K114:K115"/>
    <mergeCell ref="I19:I22"/>
    <mergeCell ref="J19:J22"/>
    <mergeCell ref="K19:K22"/>
    <mergeCell ref="H21:H22"/>
    <mergeCell ref="G62:H63"/>
    <mergeCell ref="I62:I65"/>
    <mergeCell ref="J62:J65"/>
    <mergeCell ref="K62:K65"/>
    <mergeCell ref="H64:H65"/>
    <mergeCell ref="G19:H20"/>
    <mergeCell ref="G21:G22"/>
    <mergeCell ref="H191:H192"/>
    <mergeCell ref="G189:H190"/>
    <mergeCell ref="C212:C215"/>
    <mergeCell ref="H147:H148"/>
    <mergeCell ref="I147:I148"/>
    <mergeCell ref="F191:F192"/>
    <mergeCell ref="E191:E192"/>
    <mergeCell ref="G147:G148"/>
    <mergeCell ref="D214:D215"/>
    <mergeCell ref="E175:E176"/>
    <mergeCell ref="F175:F176"/>
    <mergeCell ref="F189:F190"/>
    <mergeCell ref="F214:F215"/>
    <mergeCell ref="G214:G215"/>
    <mergeCell ref="C149:J149"/>
    <mergeCell ref="J147:J148"/>
  </mergeCells>
  <phoneticPr fontId="6" type="noConversion"/>
  <pageMargins left="0.75" right="0.75" top="1" bottom="1" header="0.5" footer="0.5"/>
  <pageSetup paperSize="9" scale="80" orientation="landscape" r:id="rId1"/>
  <headerFooter alignWithMargins="0"/>
  <rowBreaks count="6" manualBreakCount="6">
    <brk id="16" max="16383" man="1"/>
    <brk id="59" max="16383" man="1"/>
    <brk id="114" max="16383" man="1"/>
    <brk id="146" max="16383" man="1"/>
    <brk id="188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NIAB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Horwell</dc:creator>
  <cp:lastModifiedBy>Chloe McKee</cp:lastModifiedBy>
  <cp:lastPrinted>2017-03-17T12:38:14Z</cp:lastPrinted>
  <dcterms:created xsi:type="dcterms:W3CDTF">2010-03-03T08:25:52Z</dcterms:created>
  <dcterms:modified xsi:type="dcterms:W3CDTF">2021-05-11T14:42:39Z</dcterms:modified>
</cp:coreProperties>
</file>