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ahdbonline-my.sharepoint.com/personal/bryony_harris_ahdb_org_uk/Documents/Documents/"/>
    </mc:Choice>
  </mc:AlternateContent>
  <xr:revisionPtr revIDLastSave="127" documentId="8_{BB7300CF-6D41-44D4-8665-7A4902181BB1}" xr6:coauthVersionLast="47" xr6:coauthVersionMax="47" xr10:uidLastSave="{4EB200FE-2816-4995-A51E-3E8845ACC778}"/>
  <bookViews>
    <workbookView xWindow="0" yWindow="0" windowWidth="14400" windowHeight="15600" tabRatio="705" firstSheet="4" activeTab="12" xr2:uid="{00000000-000D-0000-FFFF-FFFF00000000}"/>
  </bookViews>
  <sheets>
    <sheet name="EPRG" sheetId="10" r:id="rId1"/>
    <sheet name=" IPRG DIP" sheetId="11" r:id="rId2"/>
    <sheet name="IPRG TET" sheetId="24" r:id="rId3"/>
    <sheet name=" LPRG DIP" sheetId="21" r:id="rId4"/>
    <sheet name="LPRG TET" sheetId="25" r:id="rId5"/>
    <sheet name="IRG DIP" sheetId="13" r:id="rId6"/>
    <sheet name="IRG TET" sheetId="22" r:id="rId7"/>
    <sheet name="HRG" sheetId="12" r:id="rId8"/>
    <sheet name="TIM" sheetId="19" r:id="rId9"/>
    <sheet name="WC" sheetId="14" r:id="rId10"/>
    <sheet name="RC" sheetId="16" r:id="rId11"/>
    <sheet name="LU" sheetId="18" r:id="rId12"/>
    <sheet name="CFT" sheetId="17" r:id="rId13"/>
  </sheets>
  <externalReferences>
    <externalReference r:id="rId14"/>
  </externalReferences>
  <definedNames>
    <definedName name="M2Largest_LSD_mean">[1]M2P1!$I$63</definedName>
    <definedName name="_xlnm.Print_Area" localSheetId="1">' IPRG DIP'!$A$1:$Q$52</definedName>
    <definedName name="_xlnm.Print_Area" localSheetId="3">' LPRG DIP'!$A$1:$AF$53</definedName>
    <definedName name="_xlnm.Print_Area" localSheetId="0">EPRG!$A$1:$K$55</definedName>
    <definedName name="_xlnm.Print_Area" localSheetId="7">HRG!$A$1:$V$45</definedName>
    <definedName name="_xlnm.Print_Area" localSheetId="2">'IPRG TET'!$A$1:$U$46</definedName>
    <definedName name="_xlnm.Print_Area" localSheetId="5">'IRG DIP'!$A$1:$N$41</definedName>
    <definedName name="_xlnm.Print_Area" localSheetId="4">'LPRG TET'!$A$1:$O$53</definedName>
    <definedName name="_xlnm.Print_Area" localSheetId="11">LU!$A$1:$J$22</definedName>
    <definedName name="_xlnm.Print_Area" localSheetId="8">TIM!$A$1:$L$47</definedName>
    <definedName name="_xlnm.Print_Area" localSheetId="9">WC!$A$1:$U$41</definedName>
    <definedName name="_xlnm.Print_Titles" localSheetId="5">'IRG DIP'!$A:$B</definedName>
    <definedName name="_xlnm.Print_Titles" localSheetId="9">WC!$A:$A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13" l="1"/>
  <c r="E17" i="13"/>
  <c r="F17" i="13"/>
  <c r="G17" i="13"/>
  <c r="H17" i="13"/>
  <c r="I17" i="13"/>
  <c r="J17" i="13"/>
  <c r="K17" i="13"/>
  <c r="L17" i="13"/>
  <c r="M17" i="13"/>
  <c r="N17" i="13"/>
  <c r="V24" i="12"/>
  <c r="U24" i="12"/>
  <c r="T24" i="12"/>
  <c r="S24" i="12"/>
  <c r="R24" i="12"/>
  <c r="Q24" i="12"/>
  <c r="P24" i="12"/>
  <c r="O24" i="12"/>
  <c r="N24" i="12"/>
  <c r="M24" i="12"/>
  <c r="L24" i="12"/>
  <c r="K24" i="12"/>
  <c r="J24" i="12"/>
  <c r="I24" i="12"/>
  <c r="H24" i="12"/>
  <c r="G24" i="12"/>
  <c r="F24" i="12"/>
  <c r="E24" i="12"/>
  <c r="D24" i="12"/>
  <c r="B24" i="12"/>
  <c r="V22" i="12"/>
  <c r="U22" i="12"/>
  <c r="T22" i="12"/>
  <c r="S22" i="12"/>
  <c r="R22" i="12"/>
  <c r="Q22" i="12"/>
  <c r="P22" i="12"/>
  <c r="O22" i="12"/>
  <c r="N22" i="12"/>
  <c r="M22" i="12"/>
  <c r="L22" i="12"/>
  <c r="K22" i="12"/>
  <c r="J22" i="12"/>
  <c r="I22" i="12"/>
  <c r="H22" i="12"/>
  <c r="G22" i="12"/>
  <c r="F22" i="12"/>
  <c r="E22" i="12"/>
  <c r="D22" i="12"/>
  <c r="B22" i="12"/>
  <c r="M17" i="22"/>
  <c r="L17" i="22"/>
  <c r="K17" i="22"/>
  <c r="J17" i="22"/>
  <c r="I17" i="22"/>
  <c r="H17" i="22"/>
  <c r="G17" i="22"/>
  <c r="F17" i="22"/>
  <c r="E17" i="22"/>
  <c r="D17" i="22"/>
  <c r="C17" i="22"/>
  <c r="B17" i="22"/>
  <c r="M15" i="22"/>
  <c r="L15" i="22"/>
  <c r="K15" i="22"/>
  <c r="J15" i="22"/>
  <c r="I15" i="22"/>
  <c r="H15" i="22"/>
  <c r="G15" i="22"/>
  <c r="F15" i="22"/>
  <c r="E15" i="22"/>
  <c r="D15" i="22"/>
  <c r="C15" i="22"/>
  <c r="B15" i="22"/>
  <c r="C17" i="13"/>
  <c r="B17" i="13"/>
  <c r="N15" i="13"/>
  <c r="M15" i="13"/>
  <c r="L15" i="13"/>
  <c r="K15" i="13"/>
  <c r="J15" i="13"/>
  <c r="I15" i="13"/>
  <c r="H15" i="13"/>
  <c r="G15" i="13"/>
  <c r="F15" i="13"/>
  <c r="E15" i="13"/>
  <c r="D15" i="13"/>
  <c r="C15" i="13"/>
  <c r="B15" i="13"/>
  <c r="I30" i="19"/>
  <c r="H30" i="19"/>
  <c r="G30" i="19"/>
  <c r="F30" i="19"/>
  <c r="E30" i="19"/>
  <c r="D30" i="19"/>
  <c r="C30" i="19"/>
  <c r="B30" i="19"/>
  <c r="I28" i="19"/>
  <c r="H28" i="19"/>
  <c r="G28" i="19"/>
  <c r="F28" i="19"/>
  <c r="E28" i="19"/>
  <c r="D28" i="19"/>
  <c r="C28" i="19"/>
  <c r="B28" i="19"/>
  <c r="I8" i="19"/>
  <c r="H8" i="19"/>
  <c r="G8" i="19"/>
  <c r="F8" i="19"/>
  <c r="E8" i="19"/>
  <c r="D8" i="19"/>
  <c r="C8" i="19"/>
  <c r="B8" i="19"/>
  <c r="E12" i="17"/>
  <c r="D12" i="17"/>
  <c r="C12" i="17"/>
  <c r="B12" i="17"/>
  <c r="E10" i="17"/>
  <c r="D10" i="17"/>
  <c r="C10" i="17"/>
  <c r="B10" i="17"/>
  <c r="N30" i="25"/>
  <c r="M30" i="25"/>
  <c r="L30" i="25"/>
  <c r="K30" i="25"/>
  <c r="J30" i="25"/>
  <c r="I30" i="25"/>
  <c r="H30" i="25"/>
  <c r="G30" i="25"/>
  <c r="F30" i="25"/>
  <c r="E30" i="25"/>
  <c r="D30" i="25"/>
  <c r="C30" i="25"/>
  <c r="B30" i="25"/>
  <c r="N28" i="25"/>
  <c r="M28" i="25"/>
  <c r="L28" i="25"/>
  <c r="K28" i="25"/>
  <c r="J28" i="25"/>
  <c r="I28" i="25"/>
  <c r="H28" i="25"/>
  <c r="G28" i="25"/>
  <c r="F28" i="25"/>
  <c r="E28" i="25"/>
  <c r="D28" i="25"/>
  <c r="C28" i="25"/>
  <c r="B28" i="25"/>
  <c r="N8" i="25"/>
  <c r="M8" i="25"/>
  <c r="L8" i="25"/>
  <c r="K8" i="25"/>
  <c r="J8" i="25"/>
  <c r="I8" i="25"/>
  <c r="H8" i="25"/>
  <c r="G8" i="25"/>
  <c r="F8" i="25"/>
  <c r="E8" i="25"/>
  <c r="D8" i="25"/>
  <c r="C8" i="25"/>
  <c r="B8" i="25"/>
  <c r="AF30" i="21"/>
  <c r="AE30" i="21"/>
  <c r="AD30" i="21"/>
  <c r="AC30" i="21"/>
  <c r="AB30" i="21"/>
  <c r="AA30" i="21"/>
  <c r="Z30" i="21"/>
  <c r="Y30" i="21"/>
  <c r="X30" i="21"/>
  <c r="W30" i="21"/>
  <c r="V30" i="21"/>
  <c r="U30" i="21"/>
  <c r="T30" i="21"/>
  <c r="S30" i="21"/>
  <c r="R30" i="21"/>
  <c r="Q30" i="21"/>
  <c r="P30" i="21"/>
  <c r="O30" i="21"/>
  <c r="N30" i="21"/>
  <c r="M30" i="21"/>
  <c r="L30" i="21"/>
  <c r="K30" i="21"/>
  <c r="J30" i="21"/>
  <c r="I30" i="21"/>
  <c r="H30" i="21"/>
  <c r="G30" i="21"/>
  <c r="F30" i="21"/>
  <c r="E30" i="21"/>
  <c r="D30" i="21"/>
  <c r="C30" i="21"/>
  <c r="B30" i="21"/>
  <c r="AF28" i="21"/>
  <c r="AE28" i="21"/>
  <c r="AD28" i="21"/>
  <c r="AC28" i="21"/>
  <c r="AB28" i="21"/>
  <c r="AA28" i="21"/>
  <c r="Z28" i="21"/>
  <c r="Y28" i="21"/>
  <c r="X28" i="21"/>
  <c r="W28" i="21"/>
  <c r="V28" i="21"/>
  <c r="U28" i="21"/>
  <c r="T28" i="21"/>
  <c r="S28" i="21"/>
  <c r="R28" i="21"/>
  <c r="Q28" i="21"/>
  <c r="P28" i="21"/>
  <c r="O28" i="21"/>
  <c r="N28" i="21"/>
  <c r="M28" i="21"/>
  <c r="L28" i="21"/>
  <c r="K28" i="21"/>
  <c r="J28" i="21"/>
  <c r="I28" i="21"/>
  <c r="H28" i="21"/>
  <c r="G28" i="21"/>
  <c r="F28" i="21"/>
  <c r="E28" i="21"/>
  <c r="D28" i="21"/>
  <c r="C28" i="21"/>
  <c r="B28" i="21"/>
  <c r="AF8" i="21"/>
  <c r="AE8" i="21"/>
  <c r="AD8" i="21"/>
  <c r="AC8" i="21"/>
  <c r="AB8" i="21"/>
  <c r="AA8" i="21"/>
  <c r="Z8" i="21"/>
  <c r="Y8" i="21"/>
  <c r="X8" i="21"/>
  <c r="W8" i="21"/>
  <c r="V8" i="21"/>
  <c r="U8" i="21"/>
  <c r="T8" i="21"/>
  <c r="S8" i="21"/>
  <c r="R8" i="21"/>
  <c r="Q8" i="21"/>
  <c r="P8" i="21"/>
  <c r="O8" i="21"/>
  <c r="N8" i="21"/>
  <c r="M8" i="21"/>
  <c r="L8" i="21"/>
  <c r="K8" i="21"/>
  <c r="J8" i="21"/>
  <c r="I8" i="21"/>
  <c r="H8" i="21"/>
  <c r="G8" i="21"/>
  <c r="F8" i="21"/>
  <c r="E8" i="21"/>
  <c r="D8" i="21"/>
  <c r="C8" i="21"/>
  <c r="B8" i="21"/>
  <c r="U30" i="24"/>
  <c r="T30" i="24"/>
  <c r="S30" i="24"/>
  <c r="R30" i="24"/>
  <c r="Q30" i="24"/>
  <c r="P30" i="24"/>
  <c r="O30" i="24"/>
  <c r="N30" i="24"/>
  <c r="M30" i="24"/>
  <c r="L30" i="24"/>
  <c r="K30" i="24"/>
  <c r="J30" i="24"/>
  <c r="I30" i="24"/>
  <c r="H30" i="24"/>
  <c r="G30" i="24"/>
  <c r="F30" i="24"/>
  <c r="E30" i="24"/>
  <c r="D30" i="24"/>
  <c r="C30" i="24"/>
  <c r="B30" i="24"/>
  <c r="U28" i="24"/>
  <c r="T28" i="24"/>
  <c r="S28" i="24"/>
  <c r="R28" i="24"/>
  <c r="Q28" i="24"/>
  <c r="P28" i="24"/>
  <c r="O28" i="24"/>
  <c r="N28" i="24"/>
  <c r="M28" i="24"/>
  <c r="L28" i="24"/>
  <c r="K28" i="24"/>
  <c r="J28" i="24"/>
  <c r="I28" i="24"/>
  <c r="H28" i="24"/>
  <c r="G28" i="24"/>
  <c r="F28" i="24"/>
  <c r="E28" i="24"/>
  <c r="D28" i="24"/>
  <c r="C28" i="24"/>
  <c r="B28" i="24"/>
  <c r="U8" i="24"/>
  <c r="T8" i="24"/>
  <c r="S8" i="24"/>
  <c r="R8" i="24"/>
  <c r="Q8" i="24"/>
  <c r="P8" i="24"/>
  <c r="O8" i="24"/>
  <c r="N8" i="24"/>
  <c r="M8" i="24"/>
  <c r="L8" i="24"/>
  <c r="K8" i="24"/>
  <c r="J8" i="24"/>
  <c r="I8" i="24"/>
  <c r="H8" i="24"/>
  <c r="G8" i="24"/>
  <c r="F8" i="24"/>
  <c r="E8" i="24"/>
  <c r="D8" i="24"/>
  <c r="C8" i="24"/>
  <c r="B8" i="24"/>
  <c r="P30" i="11"/>
  <c r="O30" i="11"/>
  <c r="N30" i="11"/>
  <c r="M30" i="11"/>
  <c r="L30" i="11"/>
  <c r="K30" i="11"/>
  <c r="J30" i="11"/>
  <c r="I30" i="11"/>
  <c r="H30" i="11"/>
  <c r="G30" i="11"/>
  <c r="F30" i="11"/>
  <c r="E30" i="11"/>
  <c r="D30" i="11"/>
  <c r="C30" i="11"/>
  <c r="B30" i="11"/>
  <c r="P28" i="11"/>
  <c r="O28" i="11"/>
  <c r="N28" i="11"/>
  <c r="M28" i="11"/>
  <c r="L28" i="11"/>
  <c r="K28" i="11"/>
  <c r="J28" i="11"/>
  <c r="I28" i="11"/>
  <c r="H28" i="11"/>
  <c r="G28" i="11"/>
  <c r="F28" i="11"/>
  <c r="E28" i="11"/>
  <c r="D28" i="11"/>
  <c r="C28" i="11"/>
  <c r="B28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C8" i="11"/>
  <c r="B8" i="11"/>
  <c r="J31" i="10"/>
  <c r="I31" i="10"/>
  <c r="H31" i="10"/>
  <c r="G31" i="10"/>
  <c r="F31" i="10"/>
  <c r="E31" i="10"/>
  <c r="D31" i="10"/>
  <c r="C31" i="10"/>
  <c r="B31" i="10"/>
  <c r="J29" i="10"/>
  <c r="I29" i="10"/>
  <c r="H29" i="10"/>
  <c r="G29" i="10"/>
  <c r="F29" i="10"/>
  <c r="E29" i="10"/>
  <c r="D29" i="10"/>
  <c r="C29" i="10"/>
  <c r="B29" i="10"/>
  <c r="J9" i="10"/>
  <c r="I9" i="10"/>
  <c r="H9" i="10"/>
  <c r="G9" i="10"/>
  <c r="F9" i="10"/>
  <c r="E9" i="10"/>
  <c r="D9" i="10"/>
  <c r="C9" i="10"/>
  <c r="B9" i="10"/>
</calcChain>
</file>

<file path=xl/sharedStrings.xml><?xml version="1.0" encoding="utf-8"?>
<sst xmlns="http://schemas.openxmlformats.org/spreadsheetml/2006/main" count="1197" uniqueCount="390">
  <si>
    <t xml:space="preserve">AberMagic </t>
  </si>
  <si>
    <t>G</t>
  </si>
  <si>
    <t>PG</t>
  </si>
  <si>
    <t>PS</t>
  </si>
  <si>
    <t>S</t>
  </si>
  <si>
    <t>-</t>
  </si>
  <si>
    <t>Winter Hardiness (1-9, 9=good)</t>
  </si>
  <si>
    <t>Year First Listed</t>
  </si>
  <si>
    <t>Number of trials for yields</t>
  </si>
  <si>
    <t>Heading date</t>
  </si>
  <si>
    <t xml:space="preserve">Grazing seasonal growth </t>
  </si>
  <si>
    <t>Grazing management</t>
  </si>
  <si>
    <t>Conservation management</t>
  </si>
  <si>
    <t>Agronomic characters</t>
  </si>
  <si>
    <t>Disease resistance</t>
  </si>
  <si>
    <t>Violin</t>
  </si>
  <si>
    <t>Barblanca</t>
  </si>
  <si>
    <t>Aran</t>
  </si>
  <si>
    <t xml:space="preserve">Recommended List Status </t>
  </si>
  <si>
    <t>% Clover</t>
  </si>
  <si>
    <t>Ground Cover% (3rd harvest year)</t>
  </si>
  <si>
    <t>Diploids</t>
  </si>
  <si>
    <t>Tetraploids</t>
  </si>
  <si>
    <t>Conservation seasonal growth - Year 1</t>
  </si>
  <si>
    <t xml:space="preserve">Recommended List status </t>
  </si>
  <si>
    <t>1st harvest year</t>
  </si>
  <si>
    <t>2nd harvest year</t>
  </si>
  <si>
    <t>3rd harvest year</t>
  </si>
  <si>
    <t>Year of Sowing</t>
  </si>
  <si>
    <t>SEASONAL GROWTH (1st Harvest Year)</t>
  </si>
  <si>
    <t>Fox</t>
  </si>
  <si>
    <t>Muriello</t>
  </si>
  <si>
    <t>Alamo</t>
  </si>
  <si>
    <t>Abys</t>
  </si>
  <si>
    <t>Lemmon</t>
  </si>
  <si>
    <t>Merviot</t>
  </si>
  <si>
    <t>Amos(T)</t>
  </si>
  <si>
    <t>Sparta</t>
  </si>
  <si>
    <t>Lidacta</t>
  </si>
  <si>
    <t>Ground Cover (1-9, 9=good)</t>
  </si>
  <si>
    <t>Resistance to Mildew (1-9, 9=good)</t>
  </si>
  <si>
    <t>Resistance to Mastigosporium (1-9, 9=good)</t>
  </si>
  <si>
    <t>Daisy</t>
  </si>
  <si>
    <t>AberClaret</t>
  </si>
  <si>
    <t>Comer</t>
  </si>
  <si>
    <t xml:space="preserve">Presto </t>
  </si>
  <si>
    <t>Dolina</t>
  </si>
  <si>
    <t>Comtal</t>
  </si>
  <si>
    <t>Promesse</t>
  </si>
  <si>
    <t>Winnetou</t>
  </si>
  <si>
    <t>Resistance to Yellow Rust(1-9, 9=good)</t>
  </si>
  <si>
    <t>Number of trials for clover yields</t>
  </si>
  <si>
    <t>Genesis</t>
  </si>
  <si>
    <t>Moyola</t>
  </si>
  <si>
    <t xml:space="preserve">Grazing management </t>
  </si>
  <si>
    <t>Boyne</t>
  </si>
  <si>
    <t>Drumbo</t>
  </si>
  <si>
    <t>Cancan</t>
  </si>
  <si>
    <t>AberAvon</t>
  </si>
  <si>
    <t>AberChoice</t>
  </si>
  <si>
    <t>AberAce</t>
  </si>
  <si>
    <t>AberHerald</t>
  </si>
  <si>
    <t>AberDai</t>
  </si>
  <si>
    <t>Toddington</t>
  </si>
  <si>
    <t>Maro(T)</t>
  </si>
  <si>
    <t>AberGreen</t>
  </si>
  <si>
    <r>
      <t>LEAF AREA (length×breadth mm</t>
    </r>
    <r>
      <rPr>
        <b/>
        <vertAlign val="superscript"/>
        <sz val="10"/>
        <rFont val="Arial"/>
        <family val="2"/>
      </rPr>
      <t>2</t>
    </r>
    <r>
      <rPr>
        <b/>
        <sz val="10"/>
        <rFont val="Arial"/>
        <family val="2"/>
      </rPr>
      <t xml:space="preserve">) </t>
    </r>
  </si>
  <si>
    <t>Harmonie</t>
  </si>
  <si>
    <t xml:space="preserve">Atlantis(T)          </t>
  </si>
  <si>
    <t>Iona</t>
  </si>
  <si>
    <t>Shakira</t>
  </si>
  <si>
    <t>Buddy</t>
  </si>
  <si>
    <t>TOTAL ANNUAL YIELDS</t>
  </si>
  <si>
    <t>Magellan(T)</t>
  </si>
  <si>
    <t>Nifty</t>
  </si>
  <si>
    <t>Moira</t>
  </si>
  <si>
    <t>AberWolf</t>
  </si>
  <si>
    <t>Diploid Mean              (= Barsilo)</t>
  </si>
  <si>
    <t>CONSERVATION MANAGEMENT</t>
  </si>
  <si>
    <t>Protein Content%: 1st Cut</t>
  </si>
  <si>
    <t>Timing</t>
  </si>
  <si>
    <t>LIGHT DEFOLIATION (Cutting or rotational cattle grazing)</t>
  </si>
  <si>
    <t>Light Defoliation</t>
  </si>
  <si>
    <t>Hard Defoliation</t>
  </si>
  <si>
    <t xml:space="preserve">2nd HARVEST YEAR </t>
  </si>
  <si>
    <t xml:space="preserve">3rd HARVEST YEAR </t>
  </si>
  <si>
    <t xml:space="preserve">AUTUMN GROUND COVER </t>
  </si>
  <si>
    <t>Overall (1-9, 1=poor 9=good)</t>
  </si>
  <si>
    <t xml:space="preserve">SPRING GROUND COVER  </t>
  </si>
  <si>
    <t>Ground Cover% (2nd harvest year)</t>
  </si>
  <si>
    <t>Autumn Ground Cover (1-9, 1=poor 9=good)</t>
  </si>
  <si>
    <t>Ground Cover% (1st harvest year)</t>
  </si>
  <si>
    <t>Glenarm</t>
  </si>
  <si>
    <t>[4.5]</t>
  </si>
  <si>
    <t>Dublin</t>
  </si>
  <si>
    <t>Brianna</t>
  </si>
  <si>
    <t>Glasker</t>
  </si>
  <si>
    <t>Gosford</t>
  </si>
  <si>
    <t>AberZeus</t>
  </si>
  <si>
    <t>AberLee</t>
  </si>
  <si>
    <t>[6.9]</t>
  </si>
  <si>
    <t>AberSwan</t>
  </si>
  <si>
    <t>Callan</t>
  </si>
  <si>
    <t>Bowie</t>
  </si>
  <si>
    <t>AberBann</t>
  </si>
  <si>
    <t>Oakpark</t>
  </si>
  <si>
    <t xml:space="preserve">Sinope      </t>
  </si>
  <si>
    <t>[6.7]</t>
  </si>
  <si>
    <t>Dundrod</t>
  </si>
  <si>
    <t>Fearga</t>
  </si>
  <si>
    <t>Agaska</t>
  </si>
  <si>
    <t>Coolfin</t>
  </si>
  <si>
    <t>Galgorm</t>
  </si>
  <si>
    <t>Kendal</t>
  </si>
  <si>
    <t>Melprimo</t>
  </si>
  <si>
    <t>AstonKing</t>
  </si>
  <si>
    <t>Mean of 
G varieties</t>
  </si>
  <si>
    <t>Mean of  G 
varieties</t>
  </si>
  <si>
    <t>Mean of  G  
varieties</t>
  </si>
  <si>
    <t>Mean of G 
varieties</t>
  </si>
  <si>
    <t>Late Diploid            
Mean (G's only)</t>
  </si>
  <si>
    <t>Mean of  G  varieties</t>
  </si>
  <si>
    <t>Syntilla</t>
  </si>
  <si>
    <t>Udine</t>
  </si>
  <si>
    <t>Hunter</t>
  </si>
  <si>
    <t>Barmultra II</t>
  </si>
  <si>
    <t>Kigezi 1</t>
  </si>
  <si>
    <t>Arman</t>
  </si>
  <si>
    <t>Cazzano</t>
  </si>
  <si>
    <t>Messina</t>
  </si>
  <si>
    <t>Barimax</t>
  </si>
  <si>
    <t>AberEcho</t>
  </si>
  <si>
    <t>Aston                  
Crusader</t>
  </si>
  <si>
    <t>Perkins</t>
  </si>
  <si>
    <t xml:space="preserve">Bannfoot      </t>
  </si>
  <si>
    <t>Enduro</t>
  </si>
  <si>
    <t xml:space="preserve">Tetragraze            </t>
  </si>
  <si>
    <t>Kirial</t>
  </si>
  <si>
    <t>AberImage</t>
  </si>
  <si>
    <t>Pirol</t>
  </si>
  <si>
    <t>Barsilo</t>
  </si>
  <si>
    <t>Barclamp</t>
  </si>
  <si>
    <t>AberNiche         
(Fest)</t>
  </si>
  <si>
    <t>Perseus 
(Fest)</t>
  </si>
  <si>
    <t>AberTorch</t>
  </si>
  <si>
    <t>Cooky</t>
  </si>
  <si>
    <t>INT. Diploid 
Mean 
(G's only)</t>
  </si>
  <si>
    <t>Early Diploid 
Mean (G's only)</t>
  </si>
  <si>
    <t>Fintona</t>
  </si>
  <si>
    <t>Seagoe</t>
  </si>
  <si>
    <t>Nolwen</t>
  </si>
  <si>
    <t>AberClyde</t>
  </si>
  <si>
    <t>AstonVision</t>
  </si>
  <si>
    <t>AberSpey</t>
  </si>
  <si>
    <t>Dunluce</t>
  </si>
  <si>
    <t>Triwarwic</t>
  </si>
  <si>
    <t>Pensel</t>
  </si>
  <si>
    <t>Federer</t>
  </si>
  <si>
    <t>AstonEnergy</t>
  </si>
  <si>
    <t>Ballintoy</t>
  </si>
  <si>
    <t>Bijou</t>
  </si>
  <si>
    <t>Weldone</t>
  </si>
  <si>
    <t>Meiduno</t>
  </si>
  <si>
    <t>Calao</t>
  </si>
  <si>
    <t>Aspect</t>
  </si>
  <si>
    <t>AberGain</t>
  </si>
  <si>
    <t>Nashota</t>
  </si>
  <si>
    <t>Thegn</t>
  </si>
  <si>
    <t>Hopi</t>
  </si>
  <si>
    <t>Gleneagle</t>
  </si>
  <si>
    <t>AberTest</t>
  </si>
  <si>
    <t>Ballyvoy</t>
  </si>
  <si>
    <t>Swan</t>
  </si>
  <si>
    <t>Gracehill</t>
  </si>
  <si>
    <t>Sendero</t>
  </si>
  <si>
    <t>Baronaise</t>
  </si>
  <si>
    <t>Diploid 
Mean
(G and S)</t>
  </si>
  <si>
    <t>Quartz</t>
  </si>
  <si>
    <t>Kakariki</t>
  </si>
  <si>
    <t>Pinaco</t>
  </si>
  <si>
    <t>RGT Cordial</t>
  </si>
  <si>
    <t>Delika</t>
  </si>
  <si>
    <t>Convey</t>
  </si>
  <si>
    <t>Chatsworth</t>
  </si>
  <si>
    <t>Novial</t>
  </si>
  <si>
    <t>Tetraploid 
Mean (G's only)</t>
  </si>
  <si>
    <t>Diploid Mean 
(G's only)</t>
  </si>
  <si>
    <t>Tetraploid Mean 
(G's only)</t>
  </si>
  <si>
    <t>Mean of DL
varieties</t>
  </si>
  <si>
    <t>Wetherby</t>
  </si>
  <si>
    <t>Zorgue</t>
  </si>
  <si>
    <t>Ritchie</t>
  </si>
  <si>
    <t>AberRoot
 (Fest)</t>
  </si>
  <si>
    <t>AberSheen</t>
  </si>
  <si>
    <t>INT. Tetraploid
Mean (G and S)</t>
  </si>
  <si>
    <t>[7.3]</t>
  </si>
  <si>
    <t>[6.6]</t>
  </si>
  <si>
    <t>[7.0]</t>
  </si>
  <si>
    <t>Aston 
Conqueror</t>
  </si>
  <si>
    <t>AberThames</t>
  </si>
  <si>
    <t>Melsitra</t>
  </si>
  <si>
    <t>Melsprinter</t>
  </si>
  <si>
    <t>Barwave</t>
  </si>
  <si>
    <t>Legacy</t>
  </si>
  <si>
    <t>Tollymore</t>
  </si>
  <si>
    <t>Alecto</t>
  </si>
  <si>
    <t>Crossgar</t>
  </si>
  <si>
    <t>Timuco</t>
  </si>
  <si>
    <t>Ganymed</t>
  </si>
  <si>
    <t>AberSirius</t>
  </si>
  <si>
    <t>Jaccar</t>
  </si>
  <si>
    <t>Doluga</t>
  </si>
  <si>
    <t>CONSERVATION SEASONAL GROWTH (1st Harvest Year)</t>
  </si>
  <si>
    <t>Winter Hardiness (1-9, 1=poor 9=good)</t>
  </si>
  <si>
    <t>Crown Rust (1-9, 1=poor 9=good)</t>
  </si>
  <si>
    <t>Drechslera (1-9, 1=poor 9=good)</t>
  </si>
  <si>
    <t>Mildew (1-9, 1=poor 9=good)</t>
  </si>
  <si>
    <t>Ryegrass mosaic virus (1-9, 1=poor 9=good)</t>
  </si>
  <si>
    <t>Brown Rust (1-9, 1=poor 9=good)</t>
  </si>
  <si>
    <t>PROTEIN CONTENT%</t>
  </si>
  <si>
    <t>1st Cut - 1st harvest year</t>
  </si>
  <si>
    <t>2nd Cut - 2nd harvest year</t>
  </si>
  <si>
    <t>2nd Cut - 3rd harvest year</t>
  </si>
  <si>
    <t>CONSERVATION SEASONAL GROWTH</t>
  </si>
  <si>
    <t>Early Tetraploid Mean 
(AberTorch only)</t>
  </si>
  <si>
    <t>[6.0]</t>
  </si>
  <si>
    <t>[4.7]</t>
  </si>
  <si>
    <t>[5.9]</t>
  </si>
  <si>
    <t>[5.0]</t>
  </si>
  <si>
    <t>4th+ cut (% of 2.88 t/ha)</t>
  </si>
  <si>
    <t>1st and 2nd cut ME yield, first harvest year 
(% of 119 000 mj/ha)</t>
  </si>
  <si>
    <t>AberOpal</t>
  </si>
  <si>
    <t>AberDon</t>
  </si>
  <si>
    <t>Goldwell</t>
  </si>
  <si>
    <t>AberSevern</t>
  </si>
  <si>
    <t>Graphic</t>
  </si>
  <si>
    <t>Bandon</t>
  </si>
  <si>
    <t xml:space="preserve">Aberystwyth S.184 </t>
  </si>
  <si>
    <t>Total yield 2nd harvest year (% of 15.99 t/ha)</t>
  </si>
  <si>
    <t>1st cut (% of 5.34 t/ha)</t>
  </si>
  <si>
    <t>2nd cut (% of 3.25 t/ha)</t>
  </si>
  <si>
    <t>3rd cut (% of 3.18 t/ha)</t>
  </si>
  <si>
    <t>4th+ cut (% of 2.97 t/ha)</t>
  </si>
  <si>
    <t>Total yield 1st harvest year (% of 14.74 t/ha)</t>
  </si>
  <si>
    <t>Total yield: Mean                  (% of 15.28 t/ha)</t>
  </si>
  <si>
    <t>Total yield 2nd harvest year (% of 14.17 t/ha)</t>
  </si>
  <si>
    <t>1st Cut (% of 4.15 t/ha)</t>
  </si>
  <si>
    <t>Total yield 1st harvest year (% of 11.11 t/ha)</t>
  </si>
  <si>
    <t>Total yield: Mean               (% of 12.64 t/ha)</t>
  </si>
  <si>
    <t xml:space="preserve">Total yield 1st harvest year  (% of 12.06 t/ha) </t>
  </si>
  <si>
    <t>Total yield 2nd harvest year (% of 12.95 t/ha)</t>
  </si>
  <si>
    <t>Total yield 3rd harvest year (% of 10.04 t/ha)</t>
  </si>
  <si>
    <t>1st Cut (% of 5.53 t/ha)</t>
  </si>
  <si>
    <t>2nd Cut (% of 3.63 t/ha)</t>
  </si>
  <si>
    <t>2nd Cut (% of 3.31 t/ha)</t>
  </si>
  <si>
    <t>Total yield: Mean                 (% of 11.70 t/ha)</t>
  </si>
  <si>
    <t>Protein yield: 1st Cut (% of 0.98 t/ha)</t>
  </si>
  <si>
    <t>Protein yield: 2nd Cut (% of 0.72 t/ha)</t>
  </si>
  <si>
    <t>Protein yield: 2nd Cut (% of 0.66 t/ha)</t>
  </si>
  <si>
    <t>Early grazing yield (% of 1.12 t/ha)</t>
  </si>
  <si>
    <t>Spring (% of 2.38 t/ha)</t>
  </si>
  <si>
    <t>Early Summer (% of 3.69 t/ha)</t>
  </si>
  <si>
    <t>Late Summer (% of 2.48 t/ha)</t>
  </si>
  <si>
    <t>Autumn (% of 1.01 t/ha)</t>
  </si>
  <si>
    <t>ME Yield (% of 109 000 mj/ha)</t>
  </si>
  <si>
    <t>Grazing yield (% of 9.36 t/ha)</t>
  </si>
  <si>
    <t>Total yield year 3 (% of 12.82 t/ha)</t>
  </si>
  <si>
    <t>Total yield year 1 (% of 13.84 t/ha)</t>
  </si>
  <si>
    <t>ME yield of 1st+2nd cut year 1 (% of 99 000 mj/ha)</t>
  </si>
  <si>
    <t>1st cut (% of 6.38 t/ha)</t>
  </si>
  <si>
    <t>2nd cut (% of 3.39 t/ha)</t>
  </si>
  <si>
    <t>3rd cut (% of 2.00 t/ha)</t>
  </si>
  <si>
    <t>4th+ cut (% of 2.07 t/ha)</t>
  </si>
  <si>
    <t>Banbridge</t>
  </si>
  <si>
    <t>Erinvale</t>
  </si>
  <si>
    <t>Total yield: Mean (% of 13.34 t/ha)</t>
  </si>
  <si>
    <t>Grassands Bounty</t>
  </si>
  <si>
    <t>[7.1]</t>
  </si>
  <si>
    <t>Total yield: Mean (% of 15.99 t/ha)</t>
  </si>
  <si>
    <t>[7.4]</t>
  </si>
  <si>
    <t>[7.5]</t>
  </si>
  <si>
    <t>Year of Sowing (% of 2.03 t/ha)</t>
  </si>
  <si>
    <t>Early spring growth  (% of 1.66 t/ha)</t>
  </si>
  <si>
    <t>1st conservation cut (% of 6.37 t/ha)</t>
  </si>
  <si>
    <t>2nd conservation cut (% of 4.21 t/ha)</t>
  </si>
  <si>
    <t>Monthly cuts ( % of 5.39 t/ha)</t>
  </si>
  <si>
    <t>1st harvest year (% of 17.56 t/ha)</t>
  </si>
  <si>
    <t>1st and 2nd cut ME yield, first harvest year
(% of 117 000 mj/ha)</t>
  </si>
  <si>
    <t>2nd harvest year (% of 14.35 t/ha)</t>
  </si>
  <si>
    <t>Grazing yield (% of 9.23 t/ha)</t>
  </si>
  <si>
    <t>ME Yield (% of 113 000 mj/ha)</t>
  </si>
  <si>
    <t>[6.5]</t>
  </si>
  <si>
    <t>[6.8]</t>
  </si>
  <si>
    <t>Total yield year 3 (% of 12.56 t/ha)</t>
  </si>
  <si>
    <t>[7.9]</t>
  </si>
  <si>
    <t>[7.2]</t>
  </si>
  <si>
    <t>[7.6]</t>
  </si>
  <si>
    <t>Total yield: Mean (% of 14.36 t/ha)</t>
  </si>
  <si>
    <t>Total yield year 1 (% of 16.18 t/ha)</t>
  </si>
  <si>
    <t>1st and 2nd cut ME yield, first harvest year                             (% of 124 000 mj/ha)</t>
  </si>
  <si>
    <t>1st cut (% of 7.10 t/ha)</t>
  </si>
  <si>
    <t>2nd cut (% of 3.50 t/ha)</t>
  </si>
  <si>
    <t>3rd cut (% of 2.59 t/ha)</t>
  </si>
  <si>
    <t>Early grazing yield (% of 1.30 t/ha)</t>
  </si>
  <si>
    <t>Spring (% of 2.27 t/ha)</t>
  </si>
  <si>
    <t>Late Summer (% of 2.29 t/ha)</t>
  </si>
  <si>
    <t>Autumn (% of 1.35 t/ha)</t>
  </si>
  <si>
    <t>[7.7]</t>
  </si>
  <si>
    <t>[2.3]</t>
  </si>
  <si>
    <t>3rd harvest year (% of 12.41 t/ha)</t>
  </si>
  <si>
    <t>2nd harvest year (% of 13.53 t/ha)</t>
  </si>
  <si>
    <t>1st harvest year (% of 18.22 t/ha)</t>
  </si>
  <si>
    <t>Year of Sowing (% of 1.63 t/ha)</t>
  </si>
  <si>
    <t>Early spring growth  (% of 1.57 t/ha)</t>
  </si>
  <si>
    <t>1st conservation cut (% of 6.50 t/ha)</t>
  </si>
  <si>
    <t>2nd conservation cut (% of 3.95 t/ha)</t>
  </si>
  <si>
    <t>Monthly cuts ( % of 6.04 t/ha)</t>
  </si>
  <si>
    <t>Total yield: Mean (% of 14.85 t/ha)</t>
  </si>
  <si>
    <t>Late Tetraploid           
Mean (G's only)</t>
  </si>
  <si>
    <t>Early Summer (% of 3.47 t/ha)</t>
  </si>
  <si>
    <t xml:space="preserve">EARLY PERENNIAL RYEGRASS  VARIETIES  </t>
  </si>
  <si>
    <t xml:space="preserve">Grazing D-value </t>
  </si>
  <si>
    <t>1st cut D-Value</t>
  </si>
  <si>
    <t xml:space="preserve">2nd cut D-Value </t>
  </si>
  <si>
    <t xml:space="preserve">INTERMEDIATE PERENNIAL RYEGRASS DIPLOID VARIETIES  </t>
  </si>
  <si>
    <t>2nd cut D-Value</t>
  </si>
  <si>
    <t xml:space="preserve">INTERMEDIATE PERENNIAL RYEGRASS TETRAPLOID VARIETIES  </t>
  </si>
  <si>
    <t>Grazing D-value</t>
  </si>
  <si>
    <t xml:space="preserve">1st cut D-Value </t>
  </si>
  <si>
    <t xml:space="preserve">LATE PERENNIAL RYEGRASS DIPLOID VARIETIES  </t>
  </si>
  <si>
    <t xml:space="preserve">LATE PERENNIAL RYEGRASS TETRAPLOID VARIETIES </t>
  </si>
  <si>
    <t xml:space="preserve">DESCRIPTIVE LIST OF  LUCERNE VARIETIES </t>
  </si>
  <si>
    <t>1st conservation cut D-Value</t>
  </si>
  <si>
    <t xml:space="preserve">2nd conservation cut D-Value </t>
  </si>
  <si>
    <t xml:space="preserve">DESCRIPTIVE LIST OF COCKSFOOT  VARIETIES </t>
  </si>
  <si>
    <t xml:space="preserve">Clover yield: Last cut (% of 0.40 t/ha) </t>
  </si>
  <si>
    <t xml:space="preserve">Clover yield: First cut (% of 0.56 t/ha) </t>
  </si>
  <si>
    <t xml:space="preserve">Clover yield: Last cut (% of 0.57 t/ha) </t>
  </si>
  <si>
    <t xml:space="preserve">Clover yield: First cut (% of 0.67 t/ha) </t>
  </si>
  <si>
    <t xml:space="preserve">Yield of Grass + Clover (% of 9.82 t/ha) </t>
  </si>
  <si>
    <t xml:space="preserve">Yield of clover (% of 4.07 t/ha) </t>
  </si>
  <si>
    <t xml:space="preserve">Total yield: Grass + Clover (% of 10.64 t/ha) </t>
  </si>
  <si>
    <t xml:space="preserve">Total Clover yield (% of 4.91 t/ha) </t>
  </si>
  <si>
    <t>WHITE CLOVER VARIETIES</t>
  </si>
  <si>
    <t xml:space="preserve">TIMOTHY VARIETIES  </t>
  </si>
  <si>
    <t>2nd cut D-value</t>
  </si>
  <si>
    <t xml:space="preserve">RED CLOVER VARIETIES  </t>
  </si>
  <si>
    <t xml:space="preserve">ITALIAN RYEGRASS DIPLOID VARIETIES </t>
  </si>
  <si>
    <t xml:space="preserve">ITALIAN RYEGRASS TETRAPLOID VARIETIES </t>
  </si>
  <si>
    <t>2nd conservation cut D-Value</t>
  </si>
  <si>
    <t xml:space="preserve">HYBRID RYEGRASS VARIETIES </t>
  </si>
  <si>
    <t xml:space="preserve">1st conservation cut D-Value </t>
  </si>
  <si>
    <t xml:space="preserve">1st conservation cut D-Value  </t>
  </si>
  <si>
    <t xml:space="preserve">RGT Lovely </t>
  </si>
  <si>
    <t>Breeder</t>
  </si>
  <si>
    <t>Agent</t>
  </si>
  <si>
    <t>DLF Seeds A/S</t>
  </si>
  <si>
    <t>DSV, Germany</t>
  </si>
  <si>
    <t>R2n, France</t>
  </si>
  <si>
    <t>DLF Seeds Ltd</t>
  </si>
  <si>
    <t>DSV</t>
  </si>
  <si>
    <t>RAGT Seeds Ltd</t>
  </si>
  <si>
    <t>ILVO</t>
  </si>
  <si>
    <t>IBERS, Aberystwyth</t>
  </si>
  <si>
    <t>Nord. Pflan/DSV</t>
  </si>
  <si>
    <t>Teagasc, Eire</t>
  </si>
  <si>
    <t>Limagrain UK Ltd</t>
  </si>
  <si>
    <t>Barenbrug UK Ltd</t>
  </si>
  <si>
    <t>Germinal</t>
  </si>
  <si>
    <t>Goldcrop Ltd</t>
  </si>
  <si>
    <t>Slechtitelskà stanice, The Czech Republic</t>
  </si>
  <si>
    <t>LSPB</t>
  </si>
  <si>
    <t>Grasslands Innovation Ltd</t>
  </si>
  <si>
    <t>AgResearch Ltd (New Zealand)</t>
  </si>
  <si>
    <t>Grasslanz Technology Ltd</t>
  </si>
  <si>
    <t xml:space="preserve">PGG Wrightson Seeds </t>
  </si>
  <si>
    <t>DSV, Netherlands</t>
  </si>
  <si>
    <t>Innoseeds, NL</t>
  </si>
  <si>
    <t>Barenbrug, NL</t>
  </si>
  <si>
    <t>Steinach, Germany / DSV</t>
  </si>
  <si>
    <t>Barenburg, NL</t>
  </si>
  <si>
    <t>DSV, UK</t>
  </si>
  <si>
    <t>AFBI, UK</t>
  </si>
  <si>
    <t>Freudenberger UK Ltd</t>
  </si>
  <si>
    <t>DSV, France</t>
  </si>
  <si>
    <t>ILVO/DSV</t>
  </si>
  <si>
    <t>Force Limagrain</t>
  </si>
  <si>
    <t>Semences de France</t>
  </si>
  <si>
    <t>GIE Grass</t>
  </si>
  <si>
    <t>Barenbrug 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</si>
</sst>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\-mmm"/>
    <numFmt numFmtId="165" formatCode="0.0"/>
    <numFmt numFmtId="166" formatCode="0.000"/>
    <numFmt numFmtId="167" formatCode="0.00000"/>
  </numFmts>
  <fonts count="5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sz val="10"/>
      <color indexed="9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b/>
      <i/>
      <sz val="10"/>
      <name val="Arial"/>
      <family val="2"/>
    </font>
    <font>
      <sz val="10"/>
      <color theme="0" tint="-0.14999847407452621"/>
      <name val="Arial"/>
      <family val="2"/>
    </font>
    <font>
      <b/>
      <sz val="10"/>
      <color theme="0" tint="-0.14999847407452621"/>
      <name val="Arial"/>
      <family val="2"/>
    </font>
    <font>
      <sz val="10"/>
      <color indexed="10"/>
      <name val="Arial"/>
      <family val="2"/>
    </font>
    <font>
      <sz val="11"/>
      <color theme="1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6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</borders>
  <cellStyleXfs count="2740">
    <xf numFmtId="0" fontId="0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9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20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21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7" fillId="6" borderId="131" applyNumberFormat="0" applyAlignment="0" applyProtection="0"/>
    <xf numFmtId="0" fontId="38" fillId="22" borderId="132" applyNumberFormat="0" applyAlignment="0" applyProtection="0"/>
    <xf numFmtId="0" fontId="39" fillId="0" borderId="0" applyNumberFormat="0" applyFill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41" fillId="6" borderId="131" applyNumberFormat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  <xf numFmtId="0" fontId="4" fillId="0" borderId="0"/>
    <xf numFmtId="0" fontId="4" fillId="0" borderId="0"/>
    <xf numFmtId="0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16" fillId="24" borderId="133" applyNumberFormat="0" applyFon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43" fillId="6" borderId="134" applyNumberFormat="0" applyAlignment="0" applyProtection="0"/>
    <xf numFmtId="0" fontId="8" fillId="0" borderId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5" fillId="0" borderId="0" applyNumberFormat="0" applyFill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19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24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 applyProtection="1">
      <alignment horizontal="center" textRotation="90"/>
      <protection hidden="1"/>
    </xf>
    <xf numFmtId="0" fontId="5" fillId="0" borderId="0" xfId="0" applyFont="1" applyAlignment="1" applyProtection="1">
      <alignment horizontal="center" textRotation="90" wrapText="1"/>
      <protection hidden="1"/>
    </xf>
    <xf numFmtId="0" fontId="4" fillId="0" borderId="9" xfId="0" applyFont="1" applyBorder="1" applyAlignment="1" applyProtection="1">
      <alignment horizontal="center" textRotation="90"/>
      <protection hidden="1"/>
    </xf>
    <xf numFmtId="1" fontId="4" fillId="0" borderId="6" xfId="0" applyNumberFormat="1" applyFont="1" applyBorder="1" applyAlignment="1" applyProtection="1">
      <alignment horizontal="center"/>
      <protection hidden="1"/>
    </xf>
    <xf numFmtId="0" fontId="5" fillId="0" borderId="0" xfId="0" applyFont="1"/>
    <xf numFmtId="0" fontId="2" fillId="0" borderId="0" xfId="0" applyFont="1"/>
    <xf numFmtId="0" fontId="4" fillId="0" borderId="0" xfId="0" applyFont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4" fillId="0" borderId="18" xfId="0" applyFont="1" applyBorder="1" applyAlignment="1" applyProtection="1">
      <alignment horizontal="center"/>
      <protection hidden="1"/>
    </xf>
    <xf numFmtId="1" fontId="4" fillId="0" borderId="15" xfId="0" applyNumberFormat="1" applyFont="1" applyBorder="1" applyAlignment="1" applyProtection="1">
      <alignment horizontal="center"/>
      <protection hidden="1"/>
    </xf>
    <xf numFmtId="0" fontId="4" fillId="0" borderId="9" xfId="0" applyFont="1" applyBorder="1" applyAlignment="1">
      <alignment horizontal="center" textRotation="90"/>
    </xf>
    <xf numFmtId="0" fontId="4" fillId="0" borderId="18" xfId="0" applyFont="1" applyBorder="1" applyAlignment="1">
      <alignment horizontal="center" vertical="center" wrapText="1"/>
    </xf>
    <xf numFmtId="164" fontId="4" fillId="0" borderId="18" xfId="0" applyNumberFormat="1" applyFont="1" applyBorder="1" applyAlignment="1" applyProtection="1">
      <alignment horizontal="center" vertical="center"/>
      <protection hidden="1"/>
    </xf>
    <xf numFmtId="0" fontId="0" fillId="0" borderId="0" xfId="0" applyAlignment="1">
      <alignment vertical="center"/>
    </xf>
    <xf numFmtId="164" fontId="4" fillId="0" borderId="27" xfId="0" applyNumberFormat="1" applyFont="1" applyBorder="1" applyAlignment="1" applyProtection="1">
      <alignment horizontal="center" vertical="center"/>
      <protection hidden="1"/>
    </xf>
    <xf numFmtId="0" fontId="5" fillId="0" borderId="20" xfId="0" applyFont="1" applyBorder="1"/>
    <xf numFmtId="0" fontId="14" fillId="0" borderId="0" xfId="0" applyFont="1"/>
    <xf numFmtId="0" fontId="5" fillId="0" borderId="31" xfId="0" applyFont="1" applyBorder="1" applyAlignment="1" applyProtection="1">
      <alignment horizontal="right" vertical="center"/>
      <protection hidden="1"/>
    </xf>
    <xf numFmtId="1" fontId="4" fillId="0" borderId="19" xfId="0" applyNumberFormat="1" applyFont="1" applyBorder="1" applyAlignment="1" applyProtection="1">
      <alignment horizontal="center"/>
      <protection hidden="1"/>
    </xf>
    <xf numFmtId="165" fontId="4" fillId="0" borderId="23" xfId="0" applyNumberFormat="1" applyFont="1" applyBorder="1" applyAlignment="1" applyProtection="1">
      <alignment horizontal="center"/>
      <protection hidden="1"/>
    </xf>
    <xf numFmtId="165" fontId="4" fillId="0" borderId="15" xfId="0" applyNumberFormat="1" applyFont="1" applyBorder="1" applyAlignment="1" applyProtection="1">
      <alignment horizontal="center"/>
      <protection hidden="1"/>
    </xf>
    <xf numFmtId="1" fontId="4" fillId="0" borderId="14" xfId="0" applyNumberFormat="1" applyFont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3" fillId="0" borderId="0" xfId="0" applyFont="1" applyProtection="1">
      <protection locked="0"/>
    </xf>
    <xf numFmtId="0" fontId="5" fillId="0" borderId="37" xfId="0" applyFont="1" applyBorder="1" applyAlignment="1" applyProtection="1">
      <alignment horizontal="right" vertical="center"/>
      <protection locked="0" hidden="1"/>
    </xf>
    <xf numFmtId="0" fontId="4" fillId="0" borderId="6" xfId="0" applyFont="1" applyBorder="1" applyAlignment="1" applyProtection="1">
      <alignment horizontal="center"/>
      <protection hidden="1"/>
    </xf>
    <xf numFmtId="0" fontId="29" fillId="0" borderId="0" xfId="0" applyFont="1"/>
    <xf numFmtId="0" fontId="4" fillId="0" borderId="19" xfId="0" applyFont="1" applyBorder="1" applyAlignment="1" applyProtection="1">
      <alignment horizontal="center"/>
      <protection hidden="1"/>
    </xf>
    <xf numFmtId="165" fontId="5" fillId="0" borderId="37" xfId="0" applyNumberFormat="1" applyFont="1" applyBorder="1"/>
    <xf numFmtId="0" fontId="4" fillId="0" borderId="12" xfId="0" applyFont="1" applyBorder="1"/>
    <xf numFmtId="1" fontId="5" fillId="0" borderId="37" xfId="0" applyNumberFormat="1" applyFont="1" applyBorder="1" applyAlignment="1" applyProtection="1">
      <alignment horizontal="right"/>
      <protection hidden="1"/>
    </xf>
    <xf numFmtId="0" fontId="5" fillId="0" borderId="13" xfId="0" applyFont="1" applyBorder="1" applyAlignment="1">
      <alignment horizontal="center" textRotation="90" wrapText="1"/>
    </xf>
    <xf numFmtId="1" fontId="4" fillId="0" borderId="18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Protection="1">
      <protection locked="0" hidden="1"/>
    </xf>
    <xf numFmtId="0" fontId="8" fillId="0" borderId="0" xfId="0" applyFont="1" applyAlignment="1" applyProtection="1">
      <alignment horizontal="center"/>
      <protection locked="0" hidden="1"/>
    </xf>
    <xf numFmtId="0" fontId="8" fillId="0" borderId="0" xfId="0" applyFont="1"/>
    <xf numFmtId="0" fontId="9" fillId="0" borderId="0" xfId="0" applyFont="1" applyAlignment="1" applyProtection="1">
      <alignment vertical="top"/>
      <protection locked="0" hidden="1"/>
    </xf>
    <xf numFmtId="0" fontId="9" fillId="0" borderId="0" xfId="0" applyFont="1" applyAlignment="1" applyProtection="1">
      <alignment horizontal="center"/>
      <protection locked="0" hidden="1"/>
    </xf>
    <xf numFmtId="0" fontId="4" fillId="0" borderId="13" xfId="0" applyFont="1" applyBorder="1" applyAlignment="1" applyProtection="1">
      <alignment horizontal="center"/>
      <protection locked="0" hidden="1"/>
    </xf>
    <xf numFmtId="0" fontId="4" fillId="0" borderId="18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0" xfId="0" applyFont="1" applyAlignment="1" applyProtection="1">
      <alignment horizontal="center"/>
      <protection locked="0" hidden="1"/>
    </xf>
    <xf numFmtId="0" fontId="12" fillId="0" borderId="0" xfId="0" applyFont="1"/>
    <xf numFmtId="0" fontId="2" fillId="0" borderId="30" xfId="0" applyFont="1" applyBorder="1"/>
    <xf numFmtId="0" fontId="4" fillId="0" borderId="47" xfId="0" applyFont="1" applyBorder="1"/>
    <xf numFmtId="0" fontId="4" fillId="0" borderId="50" xfId="0" applyFont="1" applyBorder="1"/>
    <xf numFmtId="164" fontId="4" fillId="0" borderId="32" xfId="0" applyNumberFormat="1" applyFont="1" applyBorder="1" applyAlignment="1" applyProtection="1">
      <alignment horizontal="center" vertical="center"/>
      <protection hidden="1"/>
    </xf>
    <xf numFmtId="164" fontId="4" fillId="0" borderId="39" xfId="0" applyNumberFormat="1" applyFont="1" applyBorder="1" applyAlignment="1" applyProtection="1">
      <alignment horizontal="center" vertical="center"/>
      <protection hidden="1"/>
    </xf>
    <xf numFmtId="0" fontId="5" fillId="0" borderId="28" xfId="0" applyFont="1" applyBorder="1" applyAlignment="1">
      <alignment horizontal="center" textRotation="90" wrapText="1"/>
    </xf>
    <xf numFmtId="1" fontId="4" fillId="0" borderId="22" xfId="0" applyNumberFormat="1" applyFont="1" applyBorder="1" applyAlignment="1" applyProtection="1">
      <alignment horizontal="center"/>
      <protection hidden="1"/>
    </xf>
    <xf numFmtId="1" fontId="4" fillId="0" borderId="36" xfId="0" applyNumberFormat="1" applyFont="1" applyBorder="1" applyAlignment="1" applyProtection="1">
      <alignment horizontal="center" vertical="center"/>
      <protection hidden="1"/>
    </xf>
    <xf numFmtId="1" fontId="4" fillId="0" borderId="23" xfId="0" applyNumberFormat="1" applyFont="1" applyBorder="1" applyAlignment="1" applyProtection="1">
      <alignment horizontal="center"/>
      <protection hidden="1"/>
    </xf>
    <xf numFmtId="1" fontId="4" fillId="0" borderId="38" xfId="0" applyNumberFormat="1" applyFont="1" applyBorder="1"/>
    <xf numFmtId="0" fontId="5" fillId="0" borderId="52" xfId="0" applyFont="1" applyBorder="1" applyAlignment="1">
      <alignment horizontal="center" textRotation="90" wrapText="1"/>
    </xf>
    <xf numFmtId="0" fontId="5" fillId="0" borderId="0" xfId="0" applyFont="1" applyAlignment="1">
      <alignment horizontal="center"/>
    </xf>
    <xf numFmtId="0" fontId="4" fillId="0" borderId="35" xfId="0" quotePrefix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8" fillId="0" borderId="0" xfId="0" applyFont="1" applyAlignment="1" applyProtection="1">
      <alignment horizontal="center"/>
      <protection locked="0"/>
    </xf>
    <xf numFmtId="0" fontId="8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" fillId="0" borderId="0" xfId="0" applyFont="1" applyAlignment="1" applyProtection="1">
      <alignment horizontal="center"/>
      <protection hidden="1"/>
    </xf>
    <xf numFmtId="0" fontId="8" fillId="0" borderId="0" xfId="0" applyFont="1" applyProtection="1">
      <protection hidden="1"/>
    </xf>
    <xf numFmtId="0" fontId="5" fillId="0" borderId="42" xfId="0" applyFont="1" applyBorder="1" applyAlignment="1">
      <alignment horizontal="center" textRotation="90" wrapText="1"/>
    </xf>
    <xf numFmtId="1" fontId="4" fillId="0" borderId="58" xfId="0" applyNumberFormat="1" applyFont="1" applyBorder="1" applyAlignment="1" applyProtection="1">
      <alignment horizontal="center" vertical="center"/>
      <protection hidden="1"/>
    </xf>
    <xf numFmtId="1" fontId="4" fillId="0" borderId="15" xfId="0" applyNumberFormat="1" applyFont="1" applyBorder="1" applyAlignment="1" applyProtection="1">
      <alignment horizontal="center" vertical="center"/>
      <protection hidden="1"/>
    </xf>
    <xf numFmtId="1" fontId="4" fillId="0" borderId="29" xfId="0" applyNumberFormat="1" applyFont="1" applyBorder="1" applyAlignment="1" applyProtection="1">
      <alignment horizontal="center" vertical="center"/>
      <protection hidden="1"/>
    </xf>
    <xf numFmtId="0" fontId="4" fillId="0" borderId="18" xfId="0" applyFont="1" applyBorder="1" applyAlignment="1" applyProtection="1">
      <alignment horizontal="center" vertical="center"/>
      <protection hidden="1"/>
    </xf>
    <xf numFmtId="0" fontId="4" fillId="0" borderId="18" xfId="0" quotePrefix="1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>
      <alignment horizontal="center" vertical="center"/>
    </xf>
    <xf numFmtId="1" fontId="4" fillId="0" borderId="14" xfId="0" applyNumberFormat="1" applyFont="1" applyBorder="1" applyAlignment="1" applyProtection="1">
      <alignment horizontal="center" vertical="center"/>
      <protection hidden="1"/>
    </xf>
    <xf numFmtId="165" fontId="4" fillId="0" borderId="21" xfId="0" applyNumberFormat="1" applyFont="1" applyBorder="1" applyAlignment="1" applyProtection="1">
      <alignment horizontal="center" vertical="center"/>
      <protection hidden="1"/>
    </xf>
    <xf numFmtId="1" fontId="4" fillId="0" borderId="23" xfId="0" applyNumberFormat="1" applyFont="1" applyBorder="1" applyAlignment="1">
      <alignment horizontal="center" vertical="center"/>
    </xf>
    <xf numFmtId="165" fontId="4" fillId="0" borderId="23" xfId="0" applyNumberFormat="1" applyFont="1" applyBorder="1" applyAlignment="1" applyProtection="1">
      <alignment horizontal="center" vertical="center"/>
      <protection hidden="1"/>
    </xf>
    <xf numFmtId="1" fontId="2" fillId="0" borderId="14" xfId="0" applyNumberFormat="1" applyFont="1" applyBorder="1" applyAlignment="1" applyProtection="1">
      <alignment horizontal="center" vertical="center"/>
      <protection hidden="1"/>
    </xf>
    <xf numFmtId="1" fontId="2" fillId="0" borderId="59" xfId="0" applyNumberFormat="1" applyFont="1" applyBorder="1" applyAlignment="1" applyProtection="1">
      <alignment horizontal="center" vertical="center"/>
      <protection hidden="1"/>
    </xf>
    <xf numFmtId="1" fontId="2" fillId="0" borderId="58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 applyProtection="1">
      <alignment horizontal="center" vertical="center"/>
      <protection hidden="1"/>
    </xf>
    <xf numFmtId="1" fontId="2" fillId="0" borderId="58" xfId="0" applyNumberFormat="1" applyFont="1" applyBorder="1" applyAlignment="1" applyProtection="1">
      <alignment horizontal="center" vertical="center"/>
      <protection hidden="1"/>
    </xf>
    <xf numFmtId="165" fontId="4" fillId="0" borderId="23" xfId="0" applyNumberFormat="1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center" vertical="center"/>
      <protection hidden="1"/>
    </xf>
    <xf numFmtId="0" fontId="2" fillId="0" borderId="16" xfId="0" applyFont="1" applyBorder="1" applyAlignment="1" applyProtection="1">
      <alignment horizontal="center" vertical="center"/>
      <protection hidden="1"/>
    </xf>
    <xf numFmtId="0" fontId="5" fillId="0" borderId="37" xfId="0" applyFont="1" applyBorder="1" applyProtection="1">
      <protection hidden="1"/>
    </xf>
    <xf numFmtId="0" fontId="4" fillId="0" borderId="46" xfId="0" applyFont="1" applyBorder="1" applyProtection="1">
      <protection hidden="1"/>
    </xf>
    <xf numFmtId="1" fontId="4" fillId="0" borderId="34" xfId="0" applyNumberFormat="1" applyFont="1" applyBorder="1" applyAlignment="1" applyProtection="1">
      <alignment horizontal="center"/>
      <protection hidden="1"/>
    </xf>
    <xf numFmtId="0" fontId="10" fillId="0" borderId="12" xfId="0" applyFont="1" applyBorder="1" applyProtection="1">
      <protection hidden="1"/>
    </xf>
    <xf numFmtId="165" fontId="4" fillId="0" borderId="46" xfId="0" applyNumberFormat="1" applyFont="1" applyBorder="1" applyProtection="1">
      <protection hidden="1"/>
    </xf>
    <xf numFmtId="0" fontId="5" fillId="0" borderId="37" xfId="0" applyFont="1" applyBorder="1" applyAlignment="1" applyProtection="1">
      <alignment horizontal="right"/>
      <protection hidden="1"/>
    </xf>
    <xf numFmtId="1" fontId="4" fillId="0" borderId="21" xfId="0" applyNumberFormat="1" applyFont="1" applyBorder="1" applyAlignment="1" applyProtection="1">
      <alignment horizontal="center"/>
      <protection hidden="1"/>
    </xf>
    <xf numFmtId="16" fontId="0" fillId="0" borderId="0" xfId="0" applyNumberFormat="1"/>
    <xf numFmtId="2" fontId="0" fillId="0" borderId="0" xfId="0" applyNumberFormat="1" applyAlignment="1">
      <alignment horizontal="left"/>
    </xf>
    <xf numFmtId="1" fontId="0" fillId="0" borderId="0" xfId="0" applyNumberFormat="1" applyAlignment="1">
      <alignment horizontal="left"/>
    </xf>
    <xf numFmtId="0" fontId="4" fillId="0" borderId="38" xfId="0" applyFont="1" applyBorder="1" applyProtection="1">
      <protection hidden="1"/>
    </xf>
    <xf numFmtId="165" fontId="4" fillId="0" borderId="47" xfId="0" applyNumberFormat="1" applyFont="1" applyBorder="1" applyProtection="1">
      <protection hidden="1"/>
    </xf>
    <xf numFmtId="1" fontId="5" fillId="0" borderId="62" xfId="0" applyNumberFormat="1" applyFont="1" applyBorder="1" applyProtection="1">
      <protection hidden="1"/>
    </xf>
    <xf numFmtId="0" fontId="4" fillId="0" borderId="0" xfId="0" applyFont="1" applyAlignment="1">
      <alignment horizontal="left"/>
    </xf>
    <xf numFmtId="0" fontId="4" fillId="0" borderId="31" xfId="0" applyFont="1" applyBorder="1" applyAlignment="1" applyProtection="1">
      <alignment vertical="center"/>
      <protection hidden="1"/>
    </xf>
    <xf numFmtId="0" fontId="12" fillId="0" borderId="30" xfId="0" applyFont="1" applyBorder="1"/>
    <xf numFmtId="0" fontId="5" fillId="0" borderId="38" xfId="0" applyFont="1" applyBorder="1"/>
    <xf numFmtId="0" fontId="3" fillId="0" borderId="52" xfId="0" applyFont="1" applyBorder="1" applyProtection="1">
      <protection locked="0"/>
    </xf>
    <xf numFmtId="0" fontId="8" fillId="0" borderId="48" xfId="0" applyFont="1" applyBorder="1" applyAlignment="1" applyProtection="1">
      <alignment horizontal="center"/>
      <protection locked="0"/>
    </xf>
    <xf numFmtId="0" fontId="8" fillId="0" borderId="52" xfId="0" applyFont="1" applyBorder="1" applyAlignment="1" applyProtection="1">
      <alignment horizontal="center"/>
      <protection locked="0"/>
    </xf>
    <xf numFmtId="0" fontId="4" fillId="0" borderId="40" xfId="0" applyFont="1" applyBorder="1"/>
    <xf numFmtId="0" fontId="5" fillId="0" borderId="40" xfId="0" applyFont="1" applyBorder="1" applyAlignment="1">
      <alignment horizontal="center" textRotation="90" wrapText="1"/>
    </xf>
    <xf numFmtId="0" fontId="2" fillId="0" borderId="63" xfId="0" applyFont="1" applyBorder="1" applyAlignment="1" applyProtection="1">
      <alignment horizontal="center" vertical="top" textRotation="180"/>
      <protection hidden="1"/>
    </xf>
    <xf numFmtId="1" fontId="4" fillId="0" borderId="23" xfId="0" applyNumberFormat="1" applyFont="1" applyBorder="1" applyAlignment="1" applyProtection="1">
      <alignment horizontal="center" vertical="center"/>
      <protection hidden="1"/>
    </xf>
    <xf numFmtId="0" fontId="2" fillId="0" borderId="0" xfId="0" applyFont="1" applyAlignment="1">
      <alignment horizontal="center" vertical="center"/>
    </xf>
    <xf numFmtId="0" fontId="5" fillId="0" borderId="31" xfId="0" applyFont="1" applyBorder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1" fontId="4" fillId="0" borderId="64" xfId="0" applyNumberFormat="1" applyFont="1" applyBorder="1" applyAlignment="1" applyProtection="1">
      <alignment vertical="center"/>
      <protection hidden="1"/>
    </xf>
    <xf numFmtId="165" fontId="4" fillId="0" borderId="22" xfId="0" applyNumberFormat="1" applyFont="1" applyBorder="1" applyAlignment="1" applyProtection="1">
      <alignment horizontal="center" vertical="center"/>
      <protection hidden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29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1" fontId="4" fillId="0" borderId="65" xfId="0" applyNumberFormat="1" applyFont="1" applyBorder="1" applyAlignment="1" applyProtection="1">
      <alignment vertical="center"/>
      <protection hidden="1"/>
    </xf>
    <xf numFmtId="0" fontId="4" fillId="0" borderId="60" xfId="0" applyFont="1" applyBorder="1" applyAlignment="1">
      <alignment vertical="center"/>
    </xf>
    <xf numFmtId="0" fontId="0" fillId="0" borderId="35" xfId="0" applyBorder="1" applyAlignment="1">
      <alignment vertical="center"/>
    </xf>
    <xf numFmtId="1" fontId="2" fillId="0" borderId="65" xfId="0" applyNumberFormat="1" applyFont="1" applyBorder="1" applyAlignment="1" applyProtection="1">
      <alignment vertical="center"/>
      <protection hidden="1"/>
    </xf>
    <xf numFmtId="0" fontId="0" fillId="0" borderId="60" xfId="0" applyBorder="1" applyAlignment="1">
      <alignment vertical="center"/>
    </xf>
    <xf numFmtId="1" fontId="2" fillId="0" borderId="64" xfId="0" applyNumberFormat="1" applyFont="1" applyBorder="1" applyAlignment="1" applyProtection="1">
      <alignment vertical="center"/>
      <protection hidden="1"/>
    </xf>
    <xf numFmtId="0" fontId="0" fillId="0" borderId="29" xfId="0" applyBorder="1" applyAlignment="1">
      <alignment vertical="center"/>
    </xf>
    <xf numFmtId="0" fontId="5" fillId="0" borderId="31" xfId="0" applyFont="1" applyBorder="1" applyAlignment="1">
      <alignment vertical="center"/>
    </xf>
    <xf numFmtId="0" fontId="0" fillId="0" borderId="30" xfId="0" applyBorder="1" applyAlignment="1">
      <alignment vertical="center"/>
    </xf>
    <xf numFmtId="0" fontId="2" fillId="0" borderId="0" xfId="0" applyFont="1" applyProtection="1">
      <protection hidden="1"/>
    </xf>
    <xf numFmtId="0" fontId="9" fillId="0" borderId="52" xfId="0" applyFont="1" applyBorder="1" applyProtection="1">
      <protection hidden="1"/>
    </xf>
    <xf numFmtId="0" fontId="9" fillId="0" borderId="68" xfId="0" applyFont="1" applyBorder="1" applyAlignment="1" applyProtection="1">
      <alignment horizontal="center"/>
      <protection hidden="1"/>
    </xf>
    <xf numFmtId="0" fontId="11" fillId="0" borderId="50" xfId="0" applyFont="1" applyBorder="1" applyProtection="1">
      <protection hidden="1"/>
    </xf>
    <xf numFmtId="0" fontId="4" fillId="0" borderId="0" xfId="0" applyFont="1" applyProtection="1">
      <protection hidden="1"/>
    </xf>
    <xf numFmtId="164" fontId="4" fillId="0" borderId="35" xfId="0" applyNumberFormat="1" applyFont="1" applyBorder="1" applyAlignment="1" applyProtection="1">
      <alignment horizontal="center" vertical="center"/>
      <protection hidden="1"/>
    </xf>
    <xf numFmtId="0" fontId="4" fillId="0" borderId="27" xfId="0" quotePrefix="1" applyFont="1" applyBorder="1" applyAlignment="1">
      <alignment horizontal="center" vertical="center"/>
    </xf>
    <xf numFmtId="1" fontId="4" fillId="0" borderId="38" xfId="0" applyNumberFormat="1" applyFont="1" applyBorder="1" applyAlignment="1" applyProtection="1">
      <alignment horizontal="center" vertical="center"/>
      <protection hidden="1"/>
    </xf>
    <xf numFmtId="165" fontId="4" fillId="0" borderId="34" xfId="0" applyNumberFormat="1" applyFont="1" applyBorder="1" applyAlignment="1" applyProtection="1">
      <alignment horizontal="center" vertical="center"/>
      <protection hidden="1"/>
    </xf>
    <xf numFmtId="1" fontId="4" fillId="0" borderId="19" xfId="0" applyNumberFormat="1" applyFont="1" applyBorder="1" applyAlignment="1" applyProtection="1">
      <alignment horizontal="center" vertical="center"/>
      <protection hidden="1"/>
    </xf>
    <xf numFmtId="1" fontId="4" fillId="0" borderId="22" xfId="0" applyNumberFormat="1" applyFont="1" applyBorder="1" applyAlignment="1" applyProtection="1">
      <alignment horizontal="center" vertical="center"/>
      <protection locked="0" hidden="1"/>
    </xf>
    <xf numFmtId="1" fontId="4" fillId="0" borderId="6" xfId="0" applyNumberFormat="1" applyFont="1" applyBorder="1" applyAlignment="1" applyProtection="1">
      <alignment horizontal="center" vertical="center"/>
      <protection hidden="1"/>
    </xf>
    <xf numFmtId="1" fontId="4" fillId="0" borderId="72" xfId="0" applyNumberFormat="1" applyFont="1" applyBorder="1" applyAlignment="1" applyProtection="1">
      <alignment horizontal="center" vertical="center"/>
      <protection hidden="1"/>
    </xf>
    <xf numFmtId="1" fontId="4" fillId="0" borderId="73" xfId="0" applyNumberFormat="1" applyFont="1" applyBorder="1" applyAlignment="1" applyProtection="1">
      <alignment vertical="center"/>
      <protection hidden="1"/>
    </xf>
    <xf numFmtId="1" fontId="4" fillId="0" borderId="22" xfId="0" applyNumberFormat="1" applyFont="1" applyBorder="1" applyAlignment="1">
      <alignment horizontal="center" vertical="center"/>
    </xf>
    <xf numFmtId="1" fontId="4" fillId="0" borderId="30" xfId="0" applyNumberFormat="1" applyFont="1" applyBorder="1" applyAlignment="1" applyProtection="1">
      <alignment horizontal="center" vertical="center"/>
      <protection hidden="1"/>
    </xf>
    <xf numFmtId="0" fontId="4" fillId="0" borderId="13" xfId="0" applyFont="1" applyBorder="1"/>
    <xf numFmtId="0" fontId="5" fillId="0" borderId="37" xfId="0" applyFont="1" applyBorder="1" applyAlignment="1">
      <alignment horizontal="center" vertical="center"/>
    </xf>
    <xf numFmtId="0" fontId="4" fillId="0" borderId="18" xfId="0" quotePrefix="1" applyFont="1" applyBorder="1" applyAlignment="1">
      <alignment horizontal="center" vertical="center"/>
    </xf>
    <xf numFmtId="0" fontId="29" fillId="0" borderId="0" xfId="0" applyFont="1" applyAlignment="1">
      <alignment vertical="center"/>
    </xf>
    <xf numFmtId="1" fontId="2" fillId="0" borderId="73" xfId="0" applyNumberFormat="1" applyFont="1" applyBorder="1" applyAlignment="1" applyProtection="1">
      <alignment vertical="center"/>
      <protection hidden="1"/>
    </xf>
    <xf numFmtId="0" fontId="4" fillId="0" borderId="36" xfId="0" quotePrefix="1" applyFont="1" applyBorder="1" applyAlignment="1" applyProtection="1">
      <alignment horizontal="center" vertical="center"/>
      <protection hidden="1"/>
    </xf>
    <xf numFmtId="0" fontId="5" fillId="0" borderId="37" xfId="0" applyFont="1" applyBorder="1" applyAlignment="1">
      <alignment vertical="center"/>
    </xf>
    <xf numFmtId="164" fontId="4" fillId="0" borderId="33" xfId="0" applyNumberFormat="1" applyFont="1" applyBorder="1" applyAlignment="1" applyProtection="1">
      <alignment horizontal="center" vertical="center"/>
      <protection hidden="1"/>
    </xf>
    <xf numFmtId="0" fontId="0" fillId="0" borderId="77" xfId="0" applyBorder="1" applyAlignment="1">
      <alignment vertical="center"/>
    </xf>
    <xf numFmtId="0" fontId="0" fillId="0" borderId="76" xfId="0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35" xfId="0" applyFont="1" applyBorder="1" applyAlignment="1">
      <alignment vertical="center"/>
    </xf>
    <xf numFmtId="1" fontId="5" fillId="0" borderId="28" xfId="0" applyNumberFormat="1" applyFont="1" applyBorder="1" applyAlignment="1" applyProtection="1">
      <alignment vertical="center"/>
      <protection locked="0" hidden="1"/>
    </xf>
    <xf numFmtId="0" fontId="12" fillId="0" borderId="77" xfId="0" applyFont="1" applyBorder="1" applyAlignment="1">
      <alignment vertical="center"/>
    </xf>
    <xf numFmtId="1" fontId="4" fillId="0" borderId="38" xfId="0" applyNumberFormat="1" applyFont="1" applyBorder="1" applyAlignment="1" applyProtection="1">
      <alignment vertical="center" wrapText="1"/>
      <protection hidden="1"/>
    </xf>
    <xf numFmtId="0" fontId="5" fillId="0" borderId="50" xfId="0" applyFont="1" applyBorder="1" applyAlignment="1">
      <alignment vertical="center"/>
    </xf>
    <xf numFmtId="0" fontId="5" fillId="0" borderId="37" xfId="0" applyFont="1" applyBorder="1" applyAlignment="1" applyProtection="1">
      <alignment horizontal="right" vertical="center"/>
      <protection hidden="1"/>
    </xf>
    <xf numFmtId="0" fontId="4" fillId="0" borderId="27" xfId="0" applyFont="1" applyBorder="1" applyAlignment="1" applyProtection="1">
      <alignment horizontal="center" vertical="center"/>
      <protection hidden="1"/>
    </xf>
    <xf numFmtId="0" fontId="4" fillId="0" borderId="27" xfId="0" quotePrefix="1" applyFont="1" applyBorder="1" applyAlignment="1" applyProtection="1">
      <alignment horizontal="center" vertical="center"/>
      <protection hidden="1"/>
    </xf>
    <xf numFmtId="0" fontId="5" fillId="0" borderId="37" xfId="0" applyFont="1" applyBorder="1" applyAlignment="1">
      <alignment horizontal="left" vertical="center"/>
    </xf>
    <xf numFmtId="0" fontId="4" fillId="0" borderId="47" xfId="0" applyFont="1" applyBorder="1" applyAlignment="1">
      <alignment vertical="center"/>
    </xf>
    <xf numFmtId="0" fontId="4" fillId="0" borderId="6" xfId="0" applyFont="1" applyBorder="1" applyAlignment="1" applyProtection="1">
      <alignment horizontal="center" vertical="center"/>
      <protection hidden="1"/>
    </xf>
    <xf numFmtId="0" fontId="5" fillId="0" borderId="37" xfId="0" applyFont="1" applyBorder="1" applyAlignment="1">
      <alignment horizontal="right" vertical="center"/>
    </xf>
    <xf numFmtId="0" fontId="5" fillId="0" borderId="65" xfId="1540" applyFont="1" applyBorder="1" applyAlignment="1" applyProtection="1">
      <alignment vertical="center"/>
      <protection hidden="1"/>
    </xf>
    <xf numFmtId="0" fontId="4" fillId="0" borderId="73" xfId="1540" applyBorder="1" applyAlignment="1" applyProtection="1">
      <alignment horizontal="left" vertical="center"/>
      <protection hidden="1"/>
    </xf>
    <xf numFmtId="0" fontId="4" fillId="0" borderId="84" xfId="0" applyFont="1" applyBorder="1" applyAlignment="1" applyProtection="1">
      <alignment horizontal="left" vertical="center"/>
      <protection hidden="1"/>
    </xf>
    <xf numFmtId="0" fontId="5" fillId="0" borderId="85" xfId="0" applyFont="1" applyBorder="1" applyAlignment="1" applyProtection="1">
      <alignment horizontal="left" vertical="center"/>
      <protection hidden="1"/>
    </xf>
    <xf numFmtId="0" fontId="2" fillId="0" borderId="74" xfId="0" applyFont="1" applyBorder="1" applyAlignment="1" applyProtection="1">
      <alignment vertical="center"/>
      <protection hidden="1"/>
    </xf>
    <xf numFmtId="0" fontId="5" fillId="0" borderId="62" xfId="0" applyFont="1" applyBorder="1" applyAlignment="1" applyProtection="1">
      <alignment vertical="center"/>
      <protection hidden="1"/>
    </xf>
    <xf numFmtId="0" fontId="5" fillId="0" borderId="37" xfId="0" applyFont="1" applyBorder="1" applyAlignment="1" applyProtection="1">
      <alignment vertical="center"/>
      <protection hidden="1"/>
    </xf>
    <xf numFmtId="1" fontId="4" fillId="0" borderId="38" xfId="0" applyNumberFormat="1" applyFont="1" applyBorder="1" applyAlignment="1" applyProtection="1">
      <alignment vertical="center"/>
      <protection hidden="1"/>
    </xf>
    <xf numFmtId="0" fontId="5" fillId="0" borderId="37" xfId="1540" applyFont="1" applyBorder="1" applyAlignment="1" applyProtection="1">
      <alignment vertical="center"/>
      <protection hidden="1"/>
    </xf>
    <xf numFmtId="1" fontId="4" fillId="0" borderId="21" xfId="0" applyNumberFormat="1" applyFont="1" applyBorder="1" applyAlignment="1">
      <alignment vertical="center"/>
    </xf>
    <xf numFmtId="1" fontId="4" fillId="0" borderId="38" xfId="0" applyNumberFormat="1" applyFont="1" applyBorder="1" applyAlignment="1">
      <alignment vertical="center"/>
    </xf>
    <xf numFmtId="0" fontId="4" fillId="0" borderId="38" xfId="0" applyFont="1" applyBorder="1" applyAlignment="1">
      <alignment vertical="center"/>
    </xf>
    <xf numFmtId="0" fontId="4" fillId="0" borderId="78" xfId="0" applyFont="1" applyBorder="1" applyAlignment="1" applyProtection="1">
      <alignment vertical="center"/>
      <protection hidden="1"/>
    </xf>
    <xf numFmtId="1" fontId="4" fillId="0" borderId="34" xfId="0" applyNumberFormat="1" applyFont="1" applyBorder="1" applyAlignment="1" applyProtection="1">
      <alignment horizontal="center" vertical="center"/>
      <protection hidden="1"/>
    </xf>
    <xf numFmtId="1" fontId="4" fillId="0" borderId="86" xfId="0" applyNumberFormat="1" applyFont="1" applyBorder="1" applyAlignment="1" applyProtection="1">
      <alignment horizontal="center" vertical="center"/>
      <protection hidden="1"/>
    </xf>
    <xf numFmtId="1" fontId="4" fillId="0" borderId="87" xfId="0" applyNumberFormat="1" applyFont="1" applyBorder="1" applyAlignment="1" applyProtection="1">
      <alignment horizontal="center" vertical="center"/>
      <protection hidden="1"/>
    </xf>
    <xf numFmtId="165" fontId="4" fillId="0" borderId="88" xfId="0" applyNumberFormat="1" applyFont="1" applyBorder="1" applyAlignment="1" applyProtection="1">
      <alignment horizontal="center" vertical="center"/>
      <protection hidden="1"/>
    </xf>
    <xf numFmtId="1" fontId="4" fillId="0" borderId="89" xfId="0" applyNumberFormat="1" applyFont="1" applyBorder="1" applyAlignment="1" applyProtection="1">
      <alignment horizontal="center" vertical="center"/>
      <protection hidden="1"/>
    </xf>
    <xf numFmtId="165" fontId="4" fillId="0" borderId="90" xfId="0" applyNumberFormat="1" applyFont="1" applyBorder="1" applyAlignment="1" applyProtection="1">
      <alignment horizontal="center" vertical="center"/>
      <protection hidden="1"/>
    </xf>
    <xf numFmtId="1" fontId="4" fillId="0" borderId="22" xfId="0" applyNumberFormat="1" applyFont="1" applyBorder="1" applyAlignment="1" applyProtection="1">
      <alignment horizontal="center" vertical="center"/>
      <protection hidden="1"/>
    </xf>
    <xf numFmtId="1" fontId="4" fillId="0" borderId="91" xfId="0" applyNumberFormat="1" applyFont="1" applyBorder="1" applyAlignment="1" applyProtection="1">
      <alignment horizontal="center" vertical="center"/>
      <protection hidden="1"/>
    </xf>
    <xf numFmtId="165" fontId="4" fillId="0" borderId="92" xfId="0" quotePrefix="1" applyNumberFormat="1" applyFont="1" applyBorder="1" applyAlignment="1" applyProtection="1">
      <alignment horizontal="center" vertical="center"/>
      <protection hidden="1"/>
    </xf>
    <xf numFmtId="0" fontId="4" fillId="0" borderId="34" xfId="0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 applyProtection="1">
      <alignment horizontal="center" vertical="center"/>
      <protection hidden="1"/>
    </xf>
    <xf numFmtId="2" fontId="0" fillId="0" borderId="0" xfId="0" applyNumberFormat="1" applyAlignment="1">
      <alignment vertical="center"/>
    </xf>
    <xf numFmtId="0" fontId="4" fillId="0" borderId="72" xfId="0" applyFont="1" applyBorder="1" applyAlignment="1" applyProtection="1">
      <alignment horizontal="center" vertical="center"/>
      <protection hidden="1"/>
    </xf>
    <xf numFmtId="0" fontId="4" fillId="0" borderId="91" xfId="0" applyFont="1" applyBorder="1" applyAlignment="1" applyProtection="1">
      <alignment horizontal="center" vertical="center"/>
      <protection hidden="1"/>
    </xf>
    <xf numFmtId="0" fontId="4" fillId="0" borderId="92" xfId="0" quotePrefix="1" applyFont="1" applyBorder="1" applyAlignment="1" applyProtection="1">
      <alignment horizontal="center" vertical="center"/>
      <protection hidden="1"/>
    </xf>
    <xf numFmtId="1" fontId="0" fillId="0" borderId="0" xfId="0" applyNumberFormat="1" applyAlignment="1">
      <alignment vertical="center"/>
    </xf>
    <xf numFmtId="0" fontId="4" fillId="0" borderId="95" xfId="0" applyFont="1" applyBorder="1" applyAlignment="1" applyProtection="1">
      <alignment horizontal="center" vertical="center"/>
      <protection hidden="1"/>
    </xf>
    <xf numFmtId="0" fontId="4" fillId="0" borderId="96" xfId="0" applyFont="1" applyBorder="1" applyAlignment="1" applyProtection="1">
      <alignment horizontal="center" vertical="center"/>
      <protection hidden="1"/>
    </xf>
    <xf numFmtId="0" fontId="4" fillId="0" borderId="81" xfId="0" applyFont="1" applyBorder="1" applyAlignment="1" applyProtection="1">
      <alignment horizontal="center" vertical="center"/>
      <protection hidden="1"/>
    </xf>
    <xf numFmtId="0" fontId="4" fillId="0" borderId="80" xfId="0" applyFont="1" applyBorder="1" applyAlignment="1" applyProtection="1">
      <alignment horizontal="center" vertical="center"/>
      <protection hidden="1"/>
    </xf>
    <xf numFmtId="0" fontId="4" fillId="0" borderId="97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16" fontId="0" fillId="0" borderId="0" xfId="0" applyNumberFormat="1" applyAlignment="1">
      <alignment vertical="center"/>
    </xf>
    <xf numFmtId="165" fontId="4" fillId="0" borderId="46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23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38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22" xfId="0" quotePrefix="1" applyNumberFormat="1" applyFont="1" applyBorder="1" applyAlignment="1" applyProtection="1">
      <alignment horizontal="center" vertical="center"/>
      <protection locked="0" hidden="1"/>
    </xf>
    <xf numFmtId="0" fontId="32" fillId="0" borderId="0" xfId="0" applyFont="1" applyAlignment="1">
      <alignment horizontal="center"/>
    </xf>
    <xf numFmtId="0" fontId="4" fillId="0" borderId="21" xfId="0" applyFont="1" applyBorder="1" applyAlignment="1" applyProtection="1">
      <alignment horizontal="left" vertical="center"/>
      <protection hidden="1"/>
    </xf>
    <xf numFmtId="0" fontId="4" fillId="0" borderId="48" xfId="0" applyFont="1" applyBorder="1" applyAlignment="1" applyProtection="1">
      <alignment horizontal="center" vertical="top" textRotation="180"/>
      <protection locked="0" hidden="1"/>
    </xf>
    <xf numFmtId="0" fontId="5" fillId="0" borderId="28" xfId="0" applyFont="1" applyBorder="1" applyAlignment="1" applyProtection="1">
      <alignment horizontal="right" vertical="center"/>
      <protection locked="0" hidden="1"/>
    </xf>
    <xf numFmtId="1" fontId="5" fillId="0" borderId="20" xfId="0" applyNumberFormat="1" applyFont="1" applyBorder="1" applyAlignment="1" applyProtection="1">
      <alignment horizontal="right" vertical="center"/>
      <protection hidden="1"/>
    </xf>
    <xf numFmtId="165" fontId="5" fillId="0" borderId="28" xfId="0" applyNumberFormat="1" applyFont="1" applyBorder="1" applyAlignment="1">
      <alignment vertical="center"/>
    </xf>
    <xf numFmtId="0" fontId="7" fillId="0" borderId="28" xfId="0" applyFont="1" applyBorder="1" applyAlignment="1" applyProtection="1">
      <alignment vertical="center"/>
      <protection locked="0" hidden="1"/>
    </xf>
    <xf numFmtId="0" fontId="0" fillId="0" borderId="22" xfId="0" applyBorder="1" applyAlignment="1" applyProtection="1">
      <alignment vertical="center"/>
      <protection locked="0" hidden="1"/>
    </xf>
    <xf numFmtId="0" fontId="5" fillId="0" borderId="28" xfId="0" applyFont="1" applyBorder="1" applyAlignment="1">
      <alignment vertical="center"/>
    </xf>
    <xf numFmtId="0" fontId="0" fillId="0" borderId="57" xfId="0" applyBorder="1"/>
    <xf numFmtId="0" fontId="0" fillId="0" borderId="57" xfId="0" applyBorder="1" applyAlignment="1">
      <alignment horizontal="center"/>
    </xf>
    <xf numFmtId="0" fontId="5" fillId="0" borderId="57" xfId="0" applyFont="1" applyBorder="1" applyAlignment="1">
      <alignment horizontal="center"/>
    </xf>
    <xf numFmtId="0" fontId="4" fillId="0" borderId="57" xfId="0" applyFont="1" applyBorder="1" applyAlignment="1">
      <alignment horizontal="center"/>
    </xf>
    <xf numFmtId="0" fontId="4" fillId="0" borderId="48" xfId="0" applyFont="1" applyBorder="1" applyProtection="1">
      <protection locked="0" hidden="1"/>
    </xf>
    <xf numFmtId="0" fontId="4" fillId="0" borderId="20" xfId="0" applyFont="1" applyBorder="1" applyAlignment="1" applyProtection="1">
      <alignment horizontal="center" vertical="top" textRotation="180"/>
      <protection locked="0" hidden="1"/>
    </xf>
    <xf numFmtId="0" fontId="2" fillId="0" borderId="0" xfId="0" applyFont="1" applyAlignment="1" applyProtection="1">
      <alignment horizontal="center"/>
      <protection hidden="1"/>
    </xf>
    <xf numFmtId="0" fontId="4" fillId="0" borderId="99" xfId="0" applyFont="1" applyBorder="1" applyAlignment="1">
      <alignment vertical="center"/>
    </xf>
    <xf numFmtId="0" fontId="2" fillId="0" borderId="102" xfId="0" applyFont="1" applyBorder="1" applyAlignment="1" applyProtection="1">
      <alignment horizontal="center" vertical="center"/>
      <protection hidden="1"/>
    </xf>
    <xf numFmtId="0" fontId="2" fillId="0" borderId="103" xfId="0" applyFont="1" applyBorder="1" applyAlignment="1" applyProtection="1">
      <alignment horizontal="center" vertical="center"/>
      <protection hidden="1"/>
    </xf>
    <xf numFmtId="1" fontId="5" fillId="0" borderId="37" xfId="0" applyNumberFormat="1" applyFont="1" applyBorder="1" applyAlignment="1" applyProtection="1">
      <alignment vertical="center"/>
      <protection hidden="1"/>
    </xf>
    <xf numFmtId="0" fontId="4" fillId="0" borderId="28" xfId="0" applyFont="1" applyBorder="1" applyAlignment="1" applyProtection="1">
      <alignment horizontal="center" vertical="center"/>
      <protection hidden="1"/>
    </xf>
    <xf numFmtId="165" fontId="4" fillId="0" borderId="38" xfId="0" applyNumberFormat="1" applyFont="1" applyBorder="1" applyAlignment="1" applyProtection="1">
      <alignment vertical="center"/>
      <protection hidden="1"/>
    </xf>
    <xf numFmtId="1" fontId="4" fillId="0" borderId="34" xfId="0" applyNumberFormat="1" applyFont="1" applyBorder="1" applyAlignment="1" applyProtection="1">
      <alignment horizontal="center" vertical="center"/>
      <protection locked="0" hidden="1"/>
    </xf>
    <xf numFmtId="1" fontId="4" fillId="0" borderId="23" xfId="0" applyNumberFormat="1" applyFont="1" applyBorder="1" applyAlignment="1" applyProtection="1">
      <alignment horizontal="center" vertical="center"/>
      <protection locked="0" hidden="1"/>
    </xf>
    <xf numFmtId="1" fontId="4" fillId="0" borderId="23" xfId="0" quotePrefix="1" applyNumberFormat="1" applyFont="1" applyBorder="1" applyAlignment="1" applyProtection="1">
      <alignment horizontal="center" vertical="center"/>
      <protection locked="0" hidden="1"/>
    </xf>
    <xf numFmtId="1" fontId="4" fillId="0" borderId="20" xfId="0" applyNumberFormat="1" applyFont="1" applyBorder="1" applyAlignment="1" applyProtection="1">
      <alignment horizontal="center" vertical="center"/>
      <protection locked="0" hidden="1"/>
    </xf>
    <xf numFmtId="165" fontId="4" fillId="0" borderId="23" xfId="0" applyNumberFormat="1" applyFont="1" applyBorder="1" applyAlignment="1" applyProtection="1">
      <alignment horizontal="center" vertical="center"/>
      <protection locked="0" hidden="1"/>
    </xf>
    <xf numFmtId="0" fontId="0" fillId="0" borderId="0" xfId="0" applyAlignment="1">
      <alignment horizontal="right" vertical="center"/>
    </xf>
    <xf numFmtId="0" fontId="0" fillId="0" borderId="29" xfId="0" applyBorder="1" applyAlignment="1">
      <alignment horizontal="right" vertical="center"/>
    </xf>
    <xf numFmtId="1" fontId="4" fillId="0" borderId="23" xfId="0" applyNumberFormat="1" applyFont="1" applyBorder="1" applyAlignment="1">
      <alignment vertical="center"/>
    </xf>
    <xf numFmtId="1" fontId="4" fillId="0" borderId="22" xfId="0" applyNumberFormat="1" applyFont="1" applyBorder="1" applyAlignment="1">
      <alignment vertical="center"/>
    </xf>
    <xf numFmtId="165" fontId="4" fillId="0" borderId="23" xfId="0" applyNumberFormat="1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165" fontId="4" fillId="0" borderId="22" xfId="0" applyNumberFormat="1" applyFont="1" applyBorder="1" applyAlignment="1" applyProtection="1">
      <alignment horizontal="center" vertical="center"/>
      <protection locked="0" hidden="1"/>
    </xf>
    <xf numFmtId="0" fontId="2" fillId="0" borderId="34" xfId="0" applyFont="1" applyBorder="1" applyAlignment="1" applyProtection="1">
      <alignment vertical="center"/>
      <protection locked="0" hidden="1"/>
    </xf>
    <xf numFmtId="165" fontId="4" fillId="0" borderId="34" xfId="0" quotePrefix="1" applyNumberFormat="1" applyFont="1" applyBorder="1" applyAlignment="1" applyProtection="1">
      <alignment horizontal="center" vertical="center"/>
      <protection locked="0" hidden="1"/>
    </xf>
    <xf numFmtId="0" fontId="2" fillId="0" borderId="29" xfId="0" applyFont="1" applyBorder="1" applyAlignment="1">
      <alignment vertical="center"/>
    </xf>
    <xf numFmtId="0" fontId="2" fillId="0" borderId="23" xfId="0" applyFont="1" applyBorder="1" applyAlignment="1" applyProtection="1">
      <alignment vertical="center"/>
      <protection locked="0" hidden="1"/>
    </xf>
    <xf numFmtId="0" fontId="2" fillId="0" borderId="30" xfId="0" applyFont="1" applyBorder="1" applyAlignment="1">
      <alignment vertical="center"/>
    </xf>
    <xf numFmtId="0" fontId="2" fillId="0" borderId="22" xfId="0" applyFont="1" applyBorder="1" applyAlignment="1" applyProtection="1">
      <alignment vertical="center"/>
      <protection locked="0" hidden="1"/>
    </xf>
    <xf numFmtId="0" fontId="4" fillId="0" borderId="34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101" xfId="0" applyFont="1" applyBorder="1" applyAlignment="1">
      <alignment vertical="center"/>
    </xf>
    <xf numFmtId="1" fontId="4" fillId="0" borderId="21" xfId="0" applyNumberFormat="1" applyFont="1" applyBorder="1" applyAlignment="1" applyProtection="1">
      <alignment horizontal="center" vertical="center"/>
      <protection locked="0" hidden="1"/>
    </xf>
    <xf numFmtId="1" fontId="4" fillId="0" borderId="61" xfId="0" applyNumberFormat="1" applyFont="1" applyBorder="1" applyAlignment="1">
      <alignment vertical="center"/>
    </xf>
    <xf numFmtId="1" fontId="4" fillId="0" borderId="61" xfId="0" applyNumberFormat="1" applyFont="1" applyBorder="1" applyAlignment="1" applyProtection="1">
      <alignment horizontal="center" vertical="center"/>
      <protection locked="0" hidden="1"/>
    </xf>
    <xf numFmtId="165" fontId="4" fillId="0" borderId="20" xfId="0" applyNumberFormat="1" applyFont="1" applyBorder="1" applyAlignment="1" applyProtection="1">
      <alignment horizontal="center" vertical="center"/>
      <protection locked="0" hidden="1"/>
    </xf>
    <xf numFmtId="165" fontId="4" fillId="0" borderId="34" xfId="0" applyNumberFormat="1" applyFont="1" applyBorder="1" applyAlignment="1">
      <alignment vertical="center"/>
    </xf>
    <xf numFmtId="165" fontId="4" fillId="0" borderId="34" xfId="0" applyNumberFormat="1" applyFont="1" applyBorder="1" applyAlignment="1" applyProtection="1">
      <alignment horizontal="center" vertical="center"/>
      <protection locked="0" hidden="1"/>
    </xf>
    <xf numFmtId="0" fontId="4" fillId="0" borderId="61" xfId="0" applyFont="1" applyBorder="1" applyAlignment="1">
      <alignment vertical="center"/>
    </xf>
    <xf numFmtId="0" fontId="12" fillId="0" borderId="29" xfId="0" applyFont="1" applyBorder="1" applyAlignment="1">
      <alignment vertical="center"/>
    </xf>
    <xf numFmtId="0" fontId="12" fillId="0" borderId="30" xfId="0" applyFont="1" applyBorder="1" applyAlignment="1">
      <alignment vertical="center"/>
    </xf>
    <xf numFmtId="165" fontId="4" fillId="0" borderId="22" xfId="0" applyNumberFormat="1" applyFont="1" applyBorder="1" applyAlignment="1">
      <alignment vertical="center"/>
    </xf>
    <xf numFmtId="0" fontId="0" fillId="0" borderId="67" xfId="0" applyBorder="1" applyAlignment="1">
      <alignment vertical="center"/>
    </xf>
    <xf numFmtId="165" fontId="0" fillId="0" borderId="0" xfId="0" applyNumberFormat="1" applyAlignment="1">
      <alignment vertical="center"/>
    </xf>
    <xf numFmtId="0" fontId="4" fillId="0" borderId="20" xfId="0" applyFont="1" applyBorder="1" applyAlignment="1">
      <alignment vertical="center"/>
    </xf>
    <xf numFmtId="166" fontId="0" fillId="0" borderId="0" xfId="0" applyNumberFormat="1" applyAlignment="1">
      <alignment horizontal="right" vertical="center"/>
    </xf>
    <xf numFmtId="0" fontId="5" fillId="0" borderId="28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1" fontId="4" fillId="0" borderId="51" xfId="0" applyNumberFormat="1" applyFont="1" applyBorder="1" applyAlignment="1">
      <alignment vertical="center"/>
    </xf>
    <xf numFmtId="1" fontId="4" fillId="0" borderId="51" xfId="0" applyNumberFormat="1" applyFont="1" applyBorder="1" applyAlignment="1">
      <alignment horizontal="center" vertical="center"/>
    </xf>
    <xf numFmtId="1" fontId="4" fillId="0" borderId="14" xfId="0" applyNumberFormat="1" applyFont="1" applyBorder="1" applyAlignment="1">
      <alignment horizontal="center" vertical="center"/>
    </xf>
    <xf numFmtId="1" fontId="4" fillId="0" borderId="59" xfId="0" applyNumberFormat="1" applyFont="1" applyBorder="1" applyAlignment="1">
      <alignment horizontal="center" vertical="center"/>
    </xf>
    <xf numFmtId="165" fontId="4" fillId="0" borderId="38" xfId="0" applyNumberFormat="1" applyFont="1" applyBorder="1" applyAlignment="1">
      <alignment horizontal="center" vertical="center"/>
    </xf>
    <xf numFmtId="165" fontId="4" fillId="0" borderId="15" xfId="0" applyNumberFormat="1" applyFont="1" applyBorder="1" applyAlignment="1">
      <alignment horizontal="center" vertical="center"/>
    </xf>
    <xf numFmtId="165" fontId="4" fillId="0" borderId="89" xfId="0" applyNumberFormat="1" applyFont="1" applyBorder="1" applyAlignment="1">
      <alignment horizontal="center" vertical="center"/>
    </xf>
    <xf numFmtId="165" fontId="4" fillId="0" borderId="58" xfId="0" applyNumberFormat="1" applyFont="1" applyBorder="1" applyAlignment="1">
      <alignment horizontal="center" vertical="center"/>
    </xf>
    <xf numFmtId="1" fontId="4" fillId="0" borderId="61" xfId="0" applyNumberFormat="1" applyFont="1" applyBorder="1" applyAlignment="1" applyProtection="1">
      <alignment horizontal="center" vertical="center"/>
      <protection hidden="1"/>
    </xf>
    <xf numFmtId="165" fontId="4" fillId="0" borderId="22" xfId="0" quotePrefix="1" applyNumberFormat="1" applyFont="1" applyBorder="1" applyAlignment="1">
      <alignment horizontal="center" vertical="center"/>
    </xf>
    <xf numFmtId="0" fontId="5" fillId="0" borderId="62" xfId="0" applyFont="1" applyBorder="1" applyAlignment="1">
      <alignment vertical="center"/>
    </xf>
    <xf numFmtId="1" fontId="4" fillId="0" borderId="46" xfId="0" applyNumberFormat="1" applyFont="1" applyBorder="1" applyAlignment="1">
      <alignment vertical="center"/>
    </xf>
    <xf numFmtId="1" fontId="4" fillId="0" borderId="46" xfId="0" applyNumberFormat="1" applyFont="1" applyBorder="1" applyAlignment="1">
      <alignment horizontal="center" vertical="center"/>
    </xf>
    <xf numFmtId="1" fontId="4" fillId="0" borderId="58" xfId="0" applyNumberFormat="1" applyFont="1" applyBorder="1" applyAlignment="1">
      <alignment horizontal="center" vertical="center"/>
    </xf>
    <xf numFmtId="1" fontId="4" fillId="0" borderId="38" xfId="0" applyNumberFormat="1" applyFont="1" applyBorder="1" applyAlignment="1">
      <alignment horizontal="center" vertical="center"/>
    </xf>
    <xf numFmtId="1" fontId="4" fillId="0" borderId="72" xfId="0" applyNumberFormat="1" applyFont="1" applyBorder="1" applyAlignment="1">
      <alignment horizontal="center" vertical="center"/>
    </xf>
    <xf numFmtId="165" fontId="4" fillId="0" borderId="22" xfId="0" applyNumberFormat="1" applyFont="1" applyBorder="1" applyAlignment="1">
      <alignment horizontal="center" vertical="center"/>
    </xf>
    <xf numFmtId="165" fontId="4" fillId="0" borderId="38" xfId="0" applyNumberFormat="1" applyFont="1" applyBorder="1" applyAlignment="1">
      <alignment vertical="center"/>
    </xf>
    <xf numFmtId="1" fontId="4" fillId="0" borderId="22" xfId="0" quotePrefix="1" applyNumberFormat="1" applyFont="1" applyBorder="1" applyAlignment="1">
      <alignment horizontal="center" vertical="center"/>
    </xf>
    <xf numFmtId="1" fontId="5" fillId="0" borderId="37" xfId="0" applyNumberFormat="1" applyFont="1" applyBorder="1" applyAlignment="1">
      <alignment vertical="center"/>
    </xf>
    <xf numFmtId="1" fontId="4" fillId="0" borderId="34" xfId="0" applyNumberFormat="1" applyFont="1" applyBorder="1" applyAlignment="1">
      <alignment horizontal="center" vertical="center"/>
    </xf>
    <xf numFmtId="165" fontId="4" fillId="0" borderId="46" xfId="0" applyNumberFormat="1" applyFont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29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" fontId="4" fillId="0" borderId="108" xfId="0" applyNumberFormat="1" applyFont="1" applyBorder="1" applyAlignment="1">
      <alignment vertical="center"/>
    </xf>
    <xf numFmtId="1" fontId="4" fillId="0" borderId="108" xfId="0" applyNumberFormat="1" applyFont="1" applyBorder="1" applyAlignment="1">
      <alignment horizontal="center" vertical="center"/>
    </xf>
    <xf numFmtId="1" fontId="4" fillId="0" borderId="82" xfId="0" applyNumberFormat="1" applyFont="1" applyBorder="1" applyAlignment="1">
      <alignment horizontal="center" vertical="center"/>
    </xf>
    <xf numFmtId="165" fontId="4" fillId="0" borderId="61" xfId="0" applyNumberFormat="1" applyFont="1" applyBorder="1" applyAlignment="1">
      <alignment horizontal="center" vertical="center"/>
    </xf>
    <xf numFmtId="165" fontId="5" fillId="0" borderId="37" xfId="0" applyNumberFormat="1" applyFont="1" applyBorder="1" applyAlignment="1">
      <alignment vertical="center"/>
    </xf>
    <xf numFmtId="165" fontId="5" fillId="0" borderId="37" xfId="0" applyNumberFormat="1" applyFont="1" applyBorder="1" applyAlignment="1">
      <alignment horizontal="center" vertical="center"/>
    </xf>
    <xf numFmtId="165" fontId="5" fillId="0" borderId="28" xfId="0" applyNumberFormat="1" applyFont="1" applyBorder="1" applyAlignment="1">
      <alignment horizontal="center" vertical="center"/>
    </xf>
    <xf numFmtId="165" fontId="5" fillId="0" borderId="35" xfId="0" applyNumberFormat="1" applyFont="1" applyBorder="1" applyAlignment="1">
      <alignment horizontal="center" vertical="center"/>
    </xf>
    <xf numFmtId="0" fontId="4" fillId="0" borderId="108" xfId="0" applyFont="1" applyBorder="1" applyAlignment="1">
      <alignment vertical="center"/>
    </xf>
    <xf numFmtId="165" fontId="4" fillId="0" borderId="108" xfId="0" applyNumberFormat="1" applyFont="1" applyBorder="1" applyAlignment="1">
      <alignment horizontal="center" vertical="center"/>
    </xf>
    <xf numFmtId="165" fontId="4" fillId="0" borderId="83" xfId="0" applyNumberFormat="1" applyFont="1" applyBorder="1" applyAlignment="1">
      <alignment horizontal="center" vertical="center"/>
    </xf>
    <xf numFmtId="165" fontId="4" fillId="0" borderId="109" xfId="0" applyNumberFormat="1" applyFont="1" applyBorder="1" applyAlignment="1">
      <alignment horizontal="center" vertical="center"/>
    </xf>
    <xf numFmtId="0" fontId="4" fillId="0" borderId="51" xfId="0" applyFont="1" applyBorder="1" applyAlignment="1">
      <alignment vertical="center"/>
    </xf>
    <xf numFmtId="165" fontId="4" fillId="0" borderId="51" xfId="0" quotePrefix="1" applyNumberFormat="1" applyFont="1" applyBorder="1" applyAlignment="1">
      <alignment horizontal="center" vertical="center"/>
    </xf>
    <xf numFmtId="165" fontId="4" fillId="0" borderId="14" xfId="0" applyNumberFormat="1" applyFont="1" applyBorder="1" applyAlignment="1">
      <alignment horizontal="center" vertical="center"/>
    </xf>
    <xf numFmtId="165" fontId="4" fillId="0" borderId="59" xfId="0" applyNumberFormat="1" applyFont="1" applyBorder="1" applyAlignment="1">
      <alignment horizontal="center" vertical="center"/>
    </xf>
    <xf numFmtId="0" fontId="4" fillId="0" borderId="46" xfId="0" applyFont="1" applyBorder="1" applyAlignment="1">
      <alignment vertical="center"/>
    </xf>
    <xf numFmtId="165" fontId="4" fillId="0" borderId="46" xfId="0" quotePrefix="1" applyNumberFormat="1" applyFont="1" applyBorder="1" applyAlignment="1">
      <alignment horizontal="center" vertical="center"/>
    </xf>
    <xf numFmtId="165" fontId="4" fillId="0" borderId="15" xfId="0" quotePrefix="1" applyNumberFormat="1" applyFont="1" applyBorder="1" applyAlignment="1">
      <alignment horizontal="center" vertical="center"/>
    </xf>
    <xf numFmtId="165" fontId="4" fillId="0" borderId="108" xfId="0" quotePrefix="1" applyNumberFormat="1" applyFont="1" applyBorder="1" applyAlignment="1">
      <alignment horizontal="center" vertical="center"/>
    </xf>
    <xf numFmtId="165" fontId="4" fillId="0" borderId="110" xfId="0" applyNumberFormat="1" applyFont="1" applyBorder="1" applyAlignment="1">
      <alignment horizontal="center" vertical="center"/>
    </xf>
    <xf numFmtId="165" fontId="4" fillId="0" borderId="67" xfId="0" applyNumberFormat="1" applyFont="1" applyBorder="1" applyAlignment="1">
      <alignment horizontal="center" vertical="center"/>
    </xf>
    <xf numFmtId="165" fontId="4" fillId="0" borderId="82" xfId="0" applyNumberFormat="1" applyFont="1" applyBorder="1" applyAlignment="1">
      <alignment horizontal="center" vertical="center"/>
    </xf>
    <xf numFmtId="1" fontId="0" fillId="0" borderId="61" xfId="0" applyNumberFormat="1" applyBorder="1" applyAlignment="1">
      <alignment horizontal="center" vertical="center"/>
    </xf>
    <xf numFmtId="1" fontId="4" fillId="0" borderId="49" xfId="0" applyNumberFormat="1" applyFont="1" applyBorder="1" applyAlignment="1">
      <alignment horizontal="center" vertical="center"/>
    </xf>
    <xf numFmtId="1" fontId="4" fillId="0" borderId="20" xfId="0" quotePrefix="1" applyNumberFormat="1" applyFont="1" applyBorder="1" applyAlignment="1">
      <alignment horizontal="center" vertical="center"/>
    </xf>
    <xf numFmtId="0" fontId="5" fillId="0" borderId="38" xfId="0" applyFont="1" applyBorder="1" applyAlignment="1">
      <alignment vertical="center"/>
    </xf>
    <xf numFmtId="0" fontId="4" fillId="0" borderId="59" xfId="0" applyFont="1" applyBorder="1" applyAlignment="1">
      <alignment horizontal="center" vertical="center"/>
    </xf>
    <xf numFmtId="0" fontId="4" fillId="0" borderId="14" xfId="0" quotePrefix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93" xfId="0" quotePrefix="1" applyFont="1" applyBorder="1" applyAlignment="1">
      <alignment horizontal="center" vertical="center"/>
    </xf>
    <xf numFmtId="0" fontId="4" fillId="0" borderId="89" xfId="0" applyFont="1" applyBorder="1" applyAlignment="1">
      <alignment horizontal="center" vertical="center"/>
    </xf>
    <xf numFmtId="0" fontId="4" fillId="0" borderId="111" xfId="0" applyFont="1" applyBorder="1" applyAlignment="1">
      <alignment vertical="center"/>
    </xf>
    <xf numFmtId="0" fontId="4" fillId="0" borderId="103" xfId="0" applyFont="1" applyBorder="1" applyAlignment="1">
      <alignment horizontal="center" vertical="center"/>
    </xf>
    <xf numFmtId="0" fontId="4" fillId="0" borderId="102" xfId="0" applyFont="1" applyBorder="1" applyAlignment="1">
      <alignment horizontal="center" vertical="center"/>
    </xf>
    <xf numFmtId="1" fontId="5" fillId="0" borderId="37" xfId="0" applyNumberFormat="1" applyFont="1" applyBorder="1" applyAlignment="1" applyProtection="1">
      <alignment horizontal="right" vertical="center"/>
      <protection hidden="1"/>
    </xf>
    <xf numFmtId="1" fontId="4" fillId="0" borderId="61" xfId="0" applyNumberFormat="1" applyFont="1" applyBorder="1" applyAlignment="1">
      <alignment horizontal="center" vertical="center"/>
    </xf>
    <xf numFmtId="165" fontId="4" fillId="0" borderId="109" xfId="0" quotePrefix="1" applyNumberFormat="1" applyFont="1" applyBorder="1" applyAlignment="1">
      <alignment horizontal="center" vertical="center"/>
    </xf>
    <xf numFmtId="165" fontId="4" fillId="0" borderId="83" xfId="0" quotePrefix="1" applyNumberFormat="1" applyFont="1" applyBorder="1" applyAlignment="1">
      <alignment horizontal="center" vertical="center"/>
    </xf>
    <xf numFmtId="165" fontId="4" fillId="0" borderId="82" xfId="0" quotePrefix="1" applyNumberFormat="1" applyFont="1" applyBorder="1" applyAlignment="1">
      <alignment horizontal="center" vertical="center"/>
    </xf>
    <xf numFmtId="1" fontId="4" fillId="0" borderId="85" xfId="0" applyNumberFormat="1" applyFont="1" applyBorder="1" applyAlignment="1">
      <alignment vertical="center"/>
    </xf>
    <xf numFmtId="1" fontId="4" fillId="0" borderId="104" xfId="0" applyNumberFormat="1" applyFont="1" applyBorder="1" applyAlignment="1">
      <alignment vertical="center"/>
    </xf>
    <xf numFmtId="165" fontId="4" fillId="0" borderId="14" xfId="0" quotePrefix="1" applyNumberFormat="1" applyFont="1" applyBorder="1" applyAlignment="1">
      <alignment horizontal="center" vertical="center"/>
    </xf>
    <xf numFmtId="164" fontId="4" fillId="0" borderId="18" xfId="0" quotePrefix="1" applyNumberFormat="1" applyFont="1" applyBorder="1" applyAlignment="1" applyProtection="1">
      <alignment horizontal="center" vertical="center"/>
      <protection hidden="1"/>
    </xf>
    <xf numFmtId="0" fontId="5" fillId="0" borderId="74" xfId="0" applyFont="1" applyBorder="1" applyAlignment="1" applyProtection="1">
      <alignment horizontal="right" vertical="center"/>
      <protection hidden="1"/>
    </xf>
    <xf numFmtId="1" fontId="4" fillId="0" borderId="86" xfId="0" applyNumberFormat="1" applyFont="1" applyBorder="1" applyAlignment="1">
      <alignment horizontal="center" vertical="center"/>
    </xf>
    <xf numFmtId="1" fontId="4" fillId="0" borderId="115" xfId="0" applyNumberFormat="1" applyFont="1" applyBorder="1" applyAlignment="1" applyProtection="1">
      <alignment horizontal="center" vertical="center"/>
      <protection hidden="1"/>
    </xf>
    <xf numFmtId="1" fontId="4" fillId="0" borderId="116" xfId="0" applyNumberFormat="1" applyFont="1" applyBorder="1" applyAlignment="1" applyProtection="1">
      <alignment horizontal="center" vertical="center"/>
      <protection hidden="1"/>
    </xf>
    <xf numFmtId="1" fontId="4" fillId="0" borderId="117" xfId="0" applyNumberFormat="1" applyFont="1" applyBorder="1" applyAlignment="1" applyProtection="1">
      <alignment horizontal="center" vertical="center"/>
      <protection hidden="1"/>
    </xf>
    <xf numFmtId="1" fontId="4" fillId="0" borderId="120" xfId="0" applyNumberFormat="1" applyFont="1" applyBorder="1" applyAlignment="1" applyProtection="1">
      <alignment horizontal="center" vertical="center"/>
      <protection hidden="1"/>
    </xf>
    <xf numFmtId="0" fontId="4" fillId="0" borderId="114" xfId="0" applyFont="1" applyBorder="1" applyAlignment="1" applyProtection="1">
      <alignment horizontal="center" vertical="center"/>
      <protection hidden="1"/>
    </xf>
    <xf numFmtId="0" fontId="4" fillId="0" borderId="120" xfId="0" applyFont="1" applyBorder="1" applyAlignment="1" applyProtection="1">
      <alignment horizontal="center" vertical="center"/>
      <protection hidden="1"/>
    </xf>
    <xf numFmtId="0" fontId="4" fillId="0" borderId="121" xfId="0" applyFont="1" applyBorder="1" applyAlignment="1" applyProtection="1">
      <alignment horizontal="center" vertical="center"/>
      <protection hidden="1"/>
    </xf>
    <xf numFmtId="16" fontId="0" fillId="0" borderId="0" xfId="0" applyNumberFormat="1" applyAlignment="1">
      <alignment horizontal="right" vertical="center"/>
    </xf>
    <xf numFmtId="0" fontId="33" fillId="0" borderId="0" xfId="0" applyFont="1" applyAlignment="1">
      <alignment horizontal="center"/>
    </xf>
    <xf numFmtId="2" fontId="33" fillId="0" borderId="0" xfId="0" applyNumberFormat="1" applyFont="1" applyAlignment="1">
      <alignment horizontal="center"/>
    </xf>
    <xf numFmtId="1" fontId="2" fillId="0" borderId="0" xfId="0" applyNumberFormat="1" applyFont="1"/>
    <xf numFmtId="0" fontId="5" fillId="0" borderId="32" xfId="0" applyFont="1" applyBorder="1" applyAlignment="1">
      <alignment vertical="center"/>
    </xf>
    <xf numFmtId="1" fontId="5" fillId="0" borderId="0" xfId="0" applyNumberFormat="1" applyFont="1" applyAlignment="1">
      <alignment vertical="center"/>
    </xf>
    <xf numFmtId="1" fontId="5" fillId="0" borderId="6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4" fillId="0" borderId="60" xfId="0" quotePrefix="1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00" xfId="0" applyFont="1" applyBorder="1" applyAlignment="1">
      <alignment horizontal="center" vertical="center"/>
    </xf>
    <xf numFmtId="165" fontId="4" fillId="0" borderId="29" xfId="0" quotePrefix="1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65" fontId="4" fillId="0" borderId="19" xfId="0" applyNumberFormat="1" applyFont="1" applyBorder="1" applyAlignment="1" applyProtection="1">
      <alignment horizontal="center" vertical="center"/>
      <protection hidden="1"/>
    </xf>
    <xf numFmtId="1" fontId="4" fillId="0" borderId="93" xfId="0" applyNumberFormat="1" applyFont="1" applyBorder="1" applyAlignment="1">
      <alignment horizontal="center" vertical="center"/>
    </xf>
    <xf numFmtId="1" fontId="4" fillId="0" borderId="15" xfId="0" applyNumberFormat="1" applyFont="1" applyBorder="1" applyAlignment="1">
      <alignment horizontal="center" vertical="center"/>
    </xf>
    <xf numFmtId="1" fontId="4" fillId="0" borderId="89" xfId="0" applyNumberFormat="1" applyFont="1" applyBorder="1" applyAlignment="1">
      <alignment horizontal="center" vertical="center"/>
    </xf>
    <xf numFmtId="1" fontId="4" fillId="0" borderId="91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19" xfId="0" applyNumberFormat="1" applyFont="1" applyBorder="1" applyAlignment="1">
      <alignment horizontal="center" vertical="center"/>
    </xf>
    <xf numFmtId="1" fontId="4" fillId="0" borderId="83" xfId="0" applyNumberFormat="1" applyFont="1" applyBorder="1" applyAlignment="1">
      <alignment horizontal="center" vertical="center"/>
    </xf>
    <xf numFmtId="1" fontId="4" fillId="0" borderId="109" xfId="0" applyNumberFormat="1" applyFont="1" applyBorder="1" applyAlignment="1">
      <alignment horizontal="center" vertical="center"/>
    </xf>
    <xf numFmtId="1" fontId="4" fillId="0" borderId="15" xfId="0" quotePrefix="1" applyNumberFormat="1" applyFont="1" applyBorder="1" applyAlignment="1">
      <alignment horizontal="center" vertical="center"/>
    </xf>
    <xf numFmtId="1" fontId="4" fillId="0" borderId="89" xfId="0" quotePrefix="1" applyNumberFormat="1" applyFont="1" applyBorder="1" applyAlignment="1">
      <alignment horizontal="center" vertical="center"/>
    </xf>
    <xf numFmtId="165" fontId="4" fillId="0" borderId="127" xfId="0" applyNumberFormat="1" applyFont="1" applyBorder="1" applyAlignment="1">
      <alignment horizontal="center" vertical="center"/>
    </xf>
    <xf numFmtId="165" fontId="4" fillId="0" borderId="93" xfId="0" applyNumberFormat="1" applyFont="1" applyBorder="1" applyAlignment="1">
      <alignment horizontal="center" vertical="center"/>
    </xf>
    <xf numFmtId="165" fontId="4" fillId="0" borderId="98" xfId="0" quotePrefix="1" applyNumberFormat="1" applyFont="1" applyBorder="1" applyAlignment="1">
      <alignment horizontal="center" vertical="center"/>
    </xf>
    <xf numFmtId="1" fontId="4" fillId="0" borderId="58" xfId="0" quotePrefix="1" applyNumberFormat="1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0" fontId="4" fillId="0" borderId="36" xfId="0" quotePrefix="1" applyFont="1" applyBorder="1" applyAlignment="1">
      <alignment horizontal="center" vertical="center"/>
    </xf>
    <xf numFmtId="165" fontId="4" fillId="0" borderId="72" xfId="0" applyNumberFormat="1" applyFont="1" applyBorder="1" applyAlignment="1">
      <alignment horizontal="center" vertical="center"/>
    </xf>
    <xf numFmtId="0" fontId="5" fillId="0" borderId="0" xfId="1540" applyFont="1" applyAlignment="1" applyProtection="1">
      <alignment horizontal="right"/>
      <protection hidden="1"/>
    </xf>
    <xf numFmtId="165" fontId="4" fillId="0" borderId="60" xfId="0" applyNumberFormat="1" applyFont="1" applyBorder="1" applyAlignment="1">
      <alignment horizontal="center" vertical="center"/>
    </xf>
    <xf numFmtId="165" fontId="5" fillId="0" borderId="72" xfId="0" applyNumberFormat="1" applyFont="1" applyBorder="1" applyAlignment="1">
      <alignment horizontal="center" vertical="center"/>
    </xf>
    <xf numFmtId="165" fontId="5" fillId="0" borderId="6" xfId="0" applyNumberFormat="1" applyFont="1" applyBorder="1" applyAlignment="1" applyProtection="1">
      <alignment horizontal="center" vertical="center"/>
      <protection hidden="1"/>
    </xf>
    <xf numFmtId="165" fontId="5" fillId="0" borderId="72" xfId="0" applyNumberFormat="1" applyFont="1" applyBorder="1" applyAlignment="1" applyProtection="1">
      <alignment horizontal="center" vertical="center"/>
      <protection hidden="1"/>
    </xf>
    <xf numFmtId="165" fontId="5" fillId="0" borderId="82" xfId="0" applyNumberFormat="1" applyFont="1" applyBorder="1" applyAlignment="1">
      <alignment horizontal="center" vertical="center"/>
    </xf>
    <xf numFmtId="165" fontId="5" fillId="0" borderId="83" xfId="0" applyNumberFormat="1" applyFont="1" applyBorder="1" applyAlignment="1" applyProtection="1">
      <alignment horizontal="center" vertical="center"/>
      <protection hidden="1"/>
    </xf>
    <xf numFmtId="165" fontId="12" fillId="0" borderId="0" xfId="0" applyNumberFormat="1" applyFont="1" applyAlignment="1">
      <alignment vertical="center"/>
    </xf>
    <xf numFmtId="16" fontId="46" fillId="0" borderId="0" xfId="1585" applyNumberFormat="1" applyFont="1" applyAlignment="1">
      <alignment horizontal="center"/>
    </xf>
    <xf numFmtId="0" fontId="46" fillId="0" borderId="0" xfId="0" applyFont="1"/>
    <xf numFmtId="0" fontId="46" fillId="0" borderId="0" xfId="0" applyFont="1" applyAlignment="1">
      <alignment vertical="center"/>
    </xf>
    <xf numFmtId="165" fontId="46" fillId="0" borderId="0" xfId="0" applyNumberFormat="1" applyFont="1" applyAlignment="1">
      <alignment vertical="center"/>
    </xf>
    <xf numFmtId="167" fontId="46" fillId="0" borderId="0" xfId="0" applyNumberFormat="1" applyFont="1" applyAlignment="1">
      <alignment vertical="center"/>
    </xf>
    <xf numFmtId="166" fontId="46" fillId="0" borderId="0" xfId="0" applyNumberFormat="1" applyFont="1" applyAlignment="1">
      <alignment vertical="center"/>
    </xf>
    <xf numFmtId="165" fontId="46" fillId="0" borderId="0" xfId="0" applyNumberFormat="1" applyFont="1" applyAlignment="1">
      <alignment horizontal="center" vertical="center"/>
    </xf>
    <xf numFmtId="165" fontId="46" fillId="0" borderId="0" xfId="0" applyNumberFormat="1" applyFont="1"/>
    <xf numFmtId="16" fontId="4" fillId="0" borderId="0" xfId="1728" applyNumberFormat="1" applyAlignment="1">
      <alignment horizontal="center"/>
    </xf>
    <xf numFmtId="16" fontId="4" fillId="0" borderId="0" xfId="1585" applyNumberFormat="1" applyAlignment="1">
      <alignment horizontal="center"/>
    </xf>
    <xf numFmtId="165" fontId="46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8" fillId="0" borderId="0" xfId="0" applyFont="1" applyAlignment="1" applyProtection="1">
      <alignment horizontal="center"/>
      <protection hidden="1"/>
    </xf>
    <xf numFmtId="0" fontId="9" fillId="0" borderId="0" xfId="0" applyFont="1" applyAlignment="1" applyProtection="1">
      <alignment vertical="top"/>
      <protection hidden="1"/>
    </xf>
    <xf numFmtId="0" fontId="9" fillId="0" borderId="0" xfId="0" applyFont="1" applyAlignment="1" applyProtection="1">
      <alignment horizontal="center"/>
      <protection hidden="1"/>
    </xf>
    <xf numFmtId="0" fontId="0" fillId="0" borderId="29" xfId="0" applyBorder="1"/>
    <xf numFmtId="0" fontId="0" fillId="0" borderId="30" xfId="0" applyBorder="1"/>
    <xf numFmtId="0" fontId="0" fillId="0" borderId="0" xfId="0" applyAlignment="1">
      <alignment horizontal="left" vertical="center"/>
    </xf>
    <xf numFmtId="0" fontId="4" fillId="0" borderId="38" xfId="1540" applyBorder="1"/>
    <xf numFmtId="0" fontId="4" fillId="0" borderId="6" xfId="1540" applyBorder="1" applyAlignment="1" applyProtection="1">
      <alignment horizontal="center"/>
      <protection hidden="1"/>
    </xf>
    <xf numFmtId="0" fontId="9" fillId="0" borderId="8" xfId="0" applyFont="1" applyBorder="1" applyProtection="1">
      <protection hidden="1"/>
    </xf>
    <xf numFmtId="0" fontId="9" fillId="0" borderId="8" xfId="0" applyFont="1" applyBorder="1" applyAlignment="1" applyProtection="1">
      <alignment horizontal="center"/>
      <protection hidden="1"/>
    </xf>
    <xf numFmtId="0" fontId="11" fillId="0" borderId="12" xfId="0" applyFont="1" applyBorder="1" applyProtection="1">
      <protection hidden="1"/>
    </xf>
    <xf numFmtId="0" fontId="4" fillId="0" borderId="38" xfId="1540" applyBorder="1" applyAlignment="1">
      <alignment vertical="center"/>
    </xf>
    <xf numFmtId="0" fontId="5" fillId="0" borderId="18" xfId="0" applyFont="1" applyBorder="1" applyAlignment="1" applyProtection="1">
      <alignment horizontal="center" vertical="center" wrapText="1"/>
      <protection hidden="1"/>
    </xf>
    <xf numFmtId="164" fontId="4" fillId="0" borderId="71" xfId="0" applyNumberFormat="1" applyFont="1" applyBorder="1" applyAlignment="1" applyProtection="1">
      <alignment horizontal="center" vertical="center"/>
      <protection hidden="1"/>
    </xf>
    <xf numFmtId="0" fontId="2" fillId="0" borderId="18" xfId="0" applyFont="1" applyBorder="1" applyAlignment="1">
      <alignment horizontal="center" vertical="center" wrapText="1"/>
    </xf>
    <xf numFmtId="0" fontId="2" fillId="0" borderId="18" xfId="0" quotePrefix="1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46" xfId="0" applyNumberFormat="1" applyFont="1" applyBorder="1" applyProtection="1">
      <protection hidden="1"/>
    </xf>
    <xf numFmtId="1" fontId="2" fillId="0" borderId="47" xfId="0" applyNumberFormat="1" applyFont="1" applyBorder="1"/>
    <xf numFmtId="1" fontId="2" fillId="0" borderId="46" xfId="0" applyNumberFormat="1" applyFont="1" applyBorder="1"/>
    <xf numFmtId="1" fontId="2" fillId="0" borderId="38" xfId="0" applyNumberFormat="1" applyFont="1" applyBorder="1"/>
    <xf numFmtId="1" fontId="2" fillId="0" borderId="51" xfId="0" applyNumberFormat="1" applyFont="1" applyBorder="1" applyProtection="1">
      <protection hidden="1"/>
    </xf>
    <xf numFmtId="1" fontId="2" fillId="0" borderId="38" xfId="0" applyNumberFormat="1" applyFont="1" applyBorder="1" applyProtection="1">
      <protection hidden="1"/>
    </xf>
    <xf numFmtId="1" fontId="2" fillId="0" borderId="15" xfId="0" applyNumberFormat="1" applyFont="1" applyBorder="1" applyAlignment="1">
      <alignment horizontal="center" vertical="center"/>
    </xf>
    <xf numFmtId="1" fontId="2" fillId="0" borderId="51" xfId="0" applyNumberFormat="1" applyFont="1" applyBorder="1" applyAlignment="1">
      <alignment vertical="center"/>
    </xf>
    <xf numFmtId="1" fontId="2" fillId="0" borderId="46" xfId="0" applyNumberFormat="1" applyFont="1" applyBorder="1" applyAlignment="1">
      <alignment vertical="center"/>
    </xf>
    <xf numFmtId="1" fontId="2" fillId="0" borderId="38" xfId="0" applyNumberFormat="1" applyFont="1" applyBorder="1" applyAlignment="1">
      <alignment vertical="center"/>
    </xf>
    <xf numFmtId="1" fontId="2" fillId="0" borderId="38" xfId="0" applyNumberFormat="1" applyFont="1" applyBorder="1" applyAlignment="1" applyProtection="1">
      <alignment vertical="center"/>
      <protection hidden="1"/>
    </xf>
    <xf numFmtId="1" fontId="2" fillId="0" borderId="108" xfId="0" applyNumberFormat="1" applyFont="1" applyBorder="1" applyAlignment="1">
      <alignment vertical="center"/>
    </xf>
    <xf numFmtId="1" fontId="2" fillId="0" borderId="23" xfId="0" applyNumberFormat="1" applyFont="1" applyBorder="1" applyAlignment="1" applyProtection="1">
      <alignment vertical="center"/>
      <protection locked="0" hidden="1"/>
    </xf>
    <xf numFmtId="1" fontId="2" fillId="0" borderId="22" xfId="0" applyNumberFormat="1" applyFont="1" applyBorder="1" applyAlignment="1" applyProtection="1">
      <alignment vertical="center"/>
      <protection locked="0" hidden="1"/>
    </xf>
    <xf numFmtId="1" fontId="2" fillId="0" borderId="20" xfId="0" applyNumberFormat="1" applyFont="1" applyBorder="1" applyAlignment="1" applyProtection="1">
      <alignment vertical="center"/>
      <protection hidden="1"/>
    </xf>
    <xf numFmtId="1" fontId="2" fillId="0" borderId="23" xfId="0" applyNumberFormat="1" applyFont="1" applyBorder="1" applyAlignment="1">
      <alignment vertical="center"/>
    </xf>
    <xf numFmtId="1" fontId="2" fillId="0" borderId="34" xfId="0" applyNumberFormat="1" applyFont="1" applyBorder="1" applyAlignment="1" applyProtection="1">
      <alignment vertical="center"/>
      <protection locked="0" hidden="1"/>
    </xf>
    <xf numFmtId="0" fontId="2" fillId="0" borderId="44" xfId="0" applyFont="1" applyBorder="1" applyAlignment="1">
      <alignment horizontal="center" vertical="center" wrapText="1"/>
    </xf>
    <xf numFmtId="0" fontId="2" fillId="0" borderId="24" xfId="0" applyFont="1" applyBorder="1" applyAlignment="1" applyProtection="1">
      <alignment horizontal="center" textRotation="90"/>
      <protection hidden="1"/>
    </xf>
    <xf numFmtId="1" fontId="2" fillId="0" borderId="46" xfId="0" applyNumberFormat="1" applyFont="1" applyBorder="1" applyAlignment="1" applyProtection="1">
      <alignment vertical="center"/>
      <protection hidden="1"/>
    </xf>
    <xf numFmtId="0" fontId="2" fillId="0" borderId="47" xfId="1540" applyFont="1" applyBorder="1" applyAlignment="1" applyProtection="1">
      <alignment vertical="center"/>
      <protection hidden="1"/>
    </xf>
    <xf numFmtId="1" fontId="2" fillId="0" borderId="47" xfId="0" applyNumberFormat="1" applyFont="1" applyBorder="1" applyAlignment="1" applyProtection="1">
      <alignment vertical="center"/>
      <protection hidden="1"/>
    </xf>
    <xf numFmtId="1" fontId="2" fillId="0" borderId="21" xfId="0" applyNumberFormat="1" applyFont="1" applyBorder="1" applyAlignment="1" applyProtection="1">
      <alignment vertical="center"/>
      <protection hidden="1"/>
    </xf>
    <xf numFmtId="1" fontId="2" fillId="0" borderId="21" xfId="0" applyNumberFormat="1" applyFont="1" applyBorder="1" applyAlignment="1" applyProtection="1">
      <alignment vertical="center"/>
      <protection locked="0" hidden="1"/>
    </xf>
    <xf numFmtId="1" fontId="2" fillId="0" borderId="61" xfId="0" applyNumberFormat="1" applyFont="1" applyBorder="1" applyAlignment="1">
      <alignment vertical="center"/>
    </xf>
    <xf numFmtId="1" fontId="2" fillId="0" borderId="23" xfId="0" quotePrefix="1" applyNumberFormat="1" applyFont="1" applyBorder="1" applyAlignment="1" applyProtection="1">
      <alignment horizontal="center" vertical="center"/>
      <protection locked="0" hidden="1"/>
    </xf>
    <xf numFmtId="1" fontId="2" fillId="0" borderId="22" xfId="0" applyNumberFormat="1" applyFont="1" applyBorder="1" applyAlignment="1" applyProtection="1">
      <alignment vertical="center" wrapText="1"/>
      <protection hidden="1"/>
    </xf>
    <xf numFmtId="1" fontId="2" fillId="0" borderId="64" xfId="1540" applyNumberFormat="1" applyFont="1" applyBorder="1" applyAlignment="1" applyProtection="1">
      <alignment vertical="center"/>
      <protection hidden="1"/>
    </xf>
    <xf numFmtId="0" fontId="2" fillId="0" borderId="64" xfId="1540" applyFont="1" applyBorder="1" applyAlignment="1" applyProtection="1">
      <alignment vertical="center"/>
      <protection hidden="1"/>
    </xf>
    <xf numFmtId="0" fontId="2" fillId="0" borderId="64" xfId="1540" applyFont="1" applyBorder="1" applyAlignment="1" applyProtection="1">
      <alignment horizontal="left" vertical="center"/>
      <protection hidden="1"/>
    </xf>
    <xf numFmtId="165" fontId="2" fillId="0" borderId="108" xfId="0" applyNumberFormat="1" applyFont="1" applyBorder="1" applyAlignment="1">
      <alignment vertical="center"/>
    </xf>
    <xf numFmtId="0" fontId="2" fillId="0" borderId="10" xfId="0" applyFont="1" applyBorder="1" applyAlignment="1" applyProtection="1">
      <alignment horizontal="center" textRotation="90"/>
      <protection hidden="1"/>
    </xf>
    <xf numFmtId="0" fontId="2" fillId="0" borderId="33" xfId="0" applyFont="1" applyBorder="1" applyAlignment="1" applyProtection="1">
      <alignment horizontal="center" vertical="center"/>
      <protection hidden="1"/>
    </xf>
    <xf numFmtId="1" fontId="2" fillId="0" borderId="22" xfId="0" applyNumberFormat="1" applyFont="1" applyBorder="1" applyAlignment="1">
      <alignment vertical="center"/>
    </xf>
    <xf numFmtId="165" fontId="2" fillId="0" borderId="15" xfId="0" quotePrefix="1" applyNumberFormat="1" applyFont="1" applyBorder="1" applyAlignment="1">
      <alignment horizontal="center" vertical="center"/>
    </xf>
    <xf numFmtId="1" fontId="2" fillId="0" borderId="38" xfId="0" applyNumberFormat="1" applyFont="1" applyBorder="1" applyAlignment="1" applyProtection="1">
      <alignment vertical="center" wrapText="1"/>
      <protection hidden="1"/>
    </xf>
    <xf numFmtId="1" fontId="2" fillId="0" borderId="47" xfId="0" applyNumberFormat="1" applyFont="1" applyBorder="1" applyAlignment="1">
      <alignment vertical="center"/>
    </xf>
    <xf numFmtId="165" fontId="2" fillId="0" borderId="38" xfId="0" applyNumberFormat="1" applyFont="1" applyBorder="1" applyAlignment="1">
      <alignment vertical="center"/>
    </xf>
    <xf numFmtId="0" fontId="2" fillId="0" borderId="36" xfId="0" quotePrefix="1" applyFont="1" applyBorder="1" applyAlignment="1">
      <alignment horizontal="center" vertical="center"/>
    </xf>
    <xf numFmtId="165" fontId="2" fillId="0" borderId="58" xfId="0" quotePrefix="1" applyNumberFormat="1" applyFont="1" applyBorder="1" applyAlignment="1">
      <alignment horizontal="center" vertical="center"/>
    </xf>
    <xf numFmtId="165" fontId="2" fillId="0" borderId="83" xfId="0" quotePrefix="1" applyNumberFormat="1" applyFont="1" applyBorder="1" applyAlignment="1">
      <alignment horizontal="center" vertical="center"/>
    </xf>
    <xf numFmtId="165" fontId="2" fillId="0" borderId="29" xfId="0" quotePrefix="1" applyNumberFormat="1" applyFont="1" applyBorder="1" applyAlignment="1">
      <alignment horizontal="center" vertical="center"/>
    </xf>
    <xf numFmtId="165" fontId="2" fillId="0" borderId="67" xfId="0" quotePrefix="1" applyNumberFormat="1" applyFont="1" applyBorder="1" applyAlignment="1">
      <alignment horizontal="center" vertical="center"/>
    </xf>
    <xf numFmtId="165" fontId="2" fillId="0" borderId="109" xfId="0" quotePrefix="1" applyNumberFormat="1" applyFont="1" applyBorder="1" applyAlignment="1">
      <alignment horizontal="center" vertical="center"/>
    </xf>
    <xf numFmtId="165" fontId="2" fillId="0" borderId="89" xfId="0" quotePrefix="1" applyNumberFormat="1" applyFont="1" applyBorder="1" applyAlignment="1">
      <alignment horizontal="center" vertical="center"/>
    </xf>
    <xf numFmtId="165" fontId="2" fillId="0" borderId="83" xfId="0" applyNumberFormat="1" applyFont="1" applyBorder="1" applyAlignment="1">
      <alignment horizontal="center" vertical="center"/>
    </xf>
    <xf numFmtId="165" fontId="2" fillId="0" borderId="109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textRotation="90" wrapText="1"/>
    </xf>
    <xf numFmtId="0" fontId="2" fillId="0" borderId="12" xfId="0" applyFont="1" applyBorder="1"/>
    <xf numFmtId="0" fontId="2" fillId="0" borderId="10" xfId="0" applyFont="1" applyBorder="1" applyAlignment="1">
      <alignment horizontal="center" textRotation="90"/>
    </xf>
    <xf numFmtId="0" fontId="2" fillId="0" borderId="9" xfId="0" applyFont="1" applyBorder="1" applyAlignment="1">
      <alignment horizontal="center" textRotation="90"/>
    </xf>
    <xf numFmtId="0" fontId="2" fillId="0" borderId="9" xfId="0" applyFont="1" applyBorder="1" applyAlignment="1">
      <alignment horizontal="center" textRotation="90" wrapText="1"/>
    </xf>
    <xf numFmtId="0" fontId="2" fillId="0" borderId="0" xfId="0" applyFont="1" applyAlignment="1">
      <alignment horizontal="center"/>
    </xf>
    <xf numFmtId="164" fontId="2" fillId="0" borderId="18" xfId="0" applyNumberFormat="1" applyFont="1" applyBorder="1" applyAlignment="1" applyProtection="1">
      <alignment horizontal="center" vertical="center"/>
      <protection hidden="1"/>
    </xf>
    <xf numFmtId="1" fontId="2" fillId="0" borderId="51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65" fontId="2" fillId="0" borderId="46" xfId="0" applyNumberFormat="1" applyFont="1" applyBorder="1" applyAlignment="1">
      <alignment vertical="center"/>
    </xf>
    <xf numFmtId="165" fontId="2" fillId="0" borderId="38" xfId="0" applyNumberFormat="1" applyFont="1" applyBorder="1" applyAlignment="1">
      <alignment horizontal="center" vertical="center"/>
    </xf>
    <xf numFmtId="165" fontId="2" fillId="0" borderId="23" xfId="0" applyNumberFormat="1" applyFont="1" applyBorder="1" applyAlignment="1">
      <alignment horizontal="center" vertical="center"/>
    </xf>
    <xf numFmtId="165" fontId="2" fillId="0" borderId="15" xfId="0" applyNumberFormat="1" applyFont="1" applyBorder="1" applyAlignment="1">
      <alignment horizontal="center" vertical="center"/>
    </xf>
    <xf numFmtId="1" fontId="2" fillId="0" borderId="61" xfId="0" applyNumberFormat="1" applyFont="1" applyBorder="1" applyAlignment="1" applyProtection="1">
      <alignment horizontal="center" vertical="center"/>
      <protection hidden="1"/>
    </xf>
    <xf numFmtId="1" fontId="2" fillId="0" borderId="22" xfId="0" applyNumberFormat="1" applyFont="1" applyBorder="1" applyAlignment="1" applyProtection="1">
      <alignment horizontal="center" vertical="center"/>
      <protection hidden="1"/>
    </xf>
    <xf numFmtId="1" fontId="2" fillId="0" borderId="6" xfId="0" applyNumberFormat="1" applyFont="1" applyBorder="1" applyAlignment="1" applyProtection="1">
      <alignment horizontal="center" vertical="center"/>
      <protection hidden="1"/>
    </xf>
    <xf numFmtId="165" fontId="2" fillId="0" borderId="22" xfId="0" quotePrefix="1" applyNumberFormat="1" applyFont="1" applyBorder="1" applyAlignment="1">
      <alignment horizontal="center" vertical="center"/>
    </xf>
    <xf numFmtId="1" fontId="2" fillId="0" borderId="46" xfId="0" applyNumberFormat="1" applyFont="1" applyBorder="1" applyAlignment="1">
      <alignment horizontal="center" vertical="center"/>
    </xf>
    <xf numFmtId="1" fontId="2" fillId="0" borderId="23" xfId="0" applyNumberFormat="1" applyFont="1" applyBorder="1" applyAlignment="1">
      <alignment horizontal="center" vertical="center"/>
    </xf>
    <xf numFmtId="1" fontId="2" fillId="0" borderId="38" xfId="0" applyNumberFormat="1" applyFont="1" applyBorder="1" applyAlignment="1">
      <alignment horizontal="center" vertical="center"/>
    </xf>
    <xf numFmtId="1" fontId="2" fillId="0" borderId="22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1" fontId="2" fillId="0" borderId="38" xfId="0" applyNumberFormat="1" applyFont="1" applyBorder="1" applyAlignment="1" applyProtection="1">
      <alignment horizontal="center" vertical="center"/>
      <protection hidden="1"/>
    </xf>
    <xf numFmtId="1" fontId="2" fillId="0" borderId="20" xfId="0" quotePrefix="1" applyNumberFormat="1" applyFont="1" applyBorder="1" applyAlignment="1">
      <alignment horizontal="center" vertical="center"/>
    </xf>
    <xf numFmtId="1" fontId="2" fillId="0" borderId="72" xfId="0" applyNumberFormat="1" applyFont="1" applyBorder="1" applyAlignment="1">
      <alignment horizontal="center" vertical="center"/>
    </xf>
    <xf numFmtId="1" fontId="2" fillId="0" borderId="83" xfId="0" applyNumberFormat="1" applyFont="1" applyBorder="1" applyAlignment="1">
      <alignment horizontal="center" vertical="center"/>
    </xf>
    <xf numFmtId="165" fontId="2" fillId="0" borderId="46" xfId="0" applyNumberFormat="1" applyFont="1" applyBorder="1" applyAlignment="1">
      <alignment horizontal="center" vertical="center"/>
    </xf>
    <xf numFmtId="165" fontId="2" fillId="0" borderId="46" xfId="0" applyNumberFormat="1" applyFont="1" applyBorder="1" applyAlignment="1">
      <alignment horizontal="left" vertical="center"/>
    </xf>
    <xf numFmtId="1" fontId="2" fillId="0" borderId="108" xfId="0" applyNumberFormat="1" applyFont="1" applyBorder="1" applyAlignment="1">
      <alignment horizontal="center" vertical="center"/>
    </xf>
    <xf numFmtId="1" fontId="2" fillId="0" borderId="61" xfId="0" applyNumberFormat="1" applyFont="1" applyBorder="1" applyAlignment="1">
      <alignment horizontal="center" vertical="center"/>
    </xf>
    <xf numFmtId="165" fontId="2" fillId="0" borderId="61" xfId="0" applyNumberFormat="1" applyFont="1" applyBorder="1" applyAlignment="1">
      <alignment horizontal="center" vertical="center"/>
    </xf>
    <xf numFmtId="1" fontId="2" fillId="0" borderId="15" xfId="0" quotePrefix="1" applyNumberFormat="1" applyFont="1" applyBorder="1" applyAlignment="1">
      <alignment horizontal="center" vertical="center"/>
    </xf>
    <xf numFmtId="165" fontId="2" fillId="0" borderId="46" xfId="0" quotePrefix="1" applyNumberFormat="1" applyFont="1" applyBorder="1" applyAlignment="1">
      <alignment horizontal="center" vertical="center"/>
    </xf>
    <xf numFmtId="165" fontId="2" fillId="0" borderId="23" xfId="0" quotePrefix="1" applyNumberFormat="1" applyFont="1" applyBorder="1" applyAlignment="1">
      <alignment horizontal="center" vertical="center"/>
    </xf>
    <xf numFmtId="0" fontId="2" fillId="0" borderId="108" xfId="0" applyFont="1" applyBorder="1" applyAlignment="1">
      <alignment vertical="center"/>
    </xf>
    <xf numFmtId="165" fontId="2" fillId="0" borderId="108" xfId="0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165" fontId="2" fillId="0" borderId="51" xfId="0" quotePrefix="1" applyNumberFormat="1" applyFont="1" applyBorder="1" applyAlignment="1">
      <alignment horizontal="center" vertical="center"/>
    </xf>
    <xf numFmtId="165" fontId="2" fillId="0" borderId="21" xfId="0" quotePrefix="1" applyNumberFormat="1" applyFont="1" applyBorder="1" applyAlignment="1">
      <alignment horizontal="center" vertical="center"/>
    </xf>
    <xf numFmtId="165" fontId="2" fillId="0" borderId="14" xfId="0" applyNumberFormat="1" applyFont="1" applyBorder="1" applyAlignment="1">
      <alignment horizontal="center" vertical="center"/>
    </xf>
    <xf numFmtId="165" fontId="2" fillId="0" borderId="60" xfId="0" quotePrefix="1" applyNumberFormat="1" applyFont="1" applyBorder="1" applyAlignment="1">
      <alignment horizontal="center" vertical="center"/>
    </xf>
    <xf numFmtId="165" fontId="2" fillId="0" borderId="14" xfId="0" quotePrefix="1" applyNumberFormat="1" applyFont="1" applyBorder="1" applyAlignment="1">
      <alignment horizontal="center" vertical="center"/>
    </xf>
    <xf numFmtId="0" fontId="2" fillId="0" borderId="46" xfId="0" applyFont="1" applyBorder="1" applyAlignment="1">
      <alignment vertical="center"/>
    </xf>
    <xf numFmtId="165" fontId="2" fillId="0" borderId="108" xfId="0" quotePrefix="1" applyNumberFormat="1" applyFont="1" applyBorder="1" applyAlignment="1">
      <alignment horizontal="center" vertical="center"/>
    </xf>
    <xf numFmtId="165" fontId="2" fillId="0" borderId="61" xfId="0" quotePrefix="1" applyNumberFormat="1" applyFont="1" applyBorder="1" applyAlignment="1">
      <alignment horizontal="center" vertical="center"/>
    </xf>
    <xf numFmtId="0" fontId="2" fillId="0" borderId="35" xfId="0" quotePrefix="1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51" xfId="0" applyFont="1" applyBorder="1"/>
    <xf numFmtId="0" fontId="2" fillId="0" borderId="14" xfId="0" quotePrefix="1" applyFont="1" applyBorder="1" applyAlignment="1">
      <alignment horizontal="center"/>
    </xf>
    <xf numFmtId="0" fontId="2" fillId="0" borderId="60" xfId="0" quotePrefix="1" applyFont="1" applyBorder="1" applyAlignment="1">
      <alignment horizontal="center"/>
    </xf>
    <xf numFmtId="0" fontId="2" fillId="0" borderId="46" xfId="0" applyFont="1" applyBorder="1"/>
    <xf numFmtId="0" fontId="2" fillId="0" borderId="15" xfId="0" applyFont="1" applyBorder="1" applyAlignment="1">
      <alignment horizontal="center"/>
    </xf>
    <xf numFmtId="0" fontId="2" fillId="0" borderId="29" xfId="0" quotePrefix="1" applyFont="1" applyBorder="1" applyAlignment="1">
      <alignment horizontal="center"/>
    </xf>
    <xf numFmtId="0" fontId="2" fillId="0" borderId="38" xfId="0" applyFont="1" applyBorder="1"/>
    <xf numFmtId="0" fontId="2" fillId="0" borderId="6" xfId="0" applyFont="1" applyBorder="1" applyAlignment="1">
      <alignment horizontal="center"/>
    </xf>
    <xf numFmtId="0" fontId="2" fillId="0" borderId="30" xfId="0" quotePrefix="1" applyFont="1" applyBorder="1" applyAlignment="1">
      <alignment horizontal="center"/>
    </xf>
    <xf numFmtId="0" fontId="2" fillId="0" borderId="123" xfId="0" applyFont="1" applyBorder="1" applyAlignment="1" applyProtection="1">
      <alignment horizontal="center" textRotation="90" shrinkToFit="1"/>
      <protection hidden="1"/>
    </xf>
    <xf numFmtId="0" fontId="2" fillId="0" borderId="124" xfId="0" applyFont="1" applyBorder="1" applyAlignment="1" applyProtection="1">
      <alignment horizontal="center" textRotation="90" shrinkToFit="1"/>
      <protection hidden="1"/>
    </xf>
    <xf numFmtId="0" fontId="2" fillId="0" borderId="18" xfId="0" applyFont="1" applyBorder="1" applyAlignment="1" applyProtection="1">
      <alignment horizontal="center" vertical="center" wrapText="1"/>
      <protection hidden="1"/>
    </xf>
    <xf numFmtId="0" fontId="2" fillId="0" borderId="36" xfId="0" applyFont="1" applyBorder="1" applyAlignment="1" applyProtection="1">
      <alignment horizontal="center" vertical="center" wrapText="1"/>
      <protection hidden="1"/>
    </xf>
    <xf numFmtId="0" fontId="2" fillId="0" borderId="41" xfId="0" applyFont="1" applyBorder="1" applyAlignment="1" applyProtection="1">
      <alignment horizontal="center" textRotation="90"/>
      <protection hidden="1"/>
    </xf>
    <xf numFmtId="0" fontId="2" fillId="0" borderId="39" xfId="0" applyFont="1" applyBorder="1" applyAlignment="1" applyProtection="1">
      <alignment horizontal="center" vertical="center"/>
      <protection hidden="1"/>
    </xf>
    <xf numFmtId="0" fontId="2" fillId="0" borderId="43" xfId="0" applyFont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 textRotation="90" wrapText="1"/>
      <protection hidden="1"/>
    </xf>
    <xf numFmtId="0" fontId="2" fillId="0" borderId="36" xfId="0" quotePrefix="1" applyFont="1" applyBorder="1" applyAlignment="1" applyProtection="1">
      <alignment horizontal="center" vertical="center"/>
      <protection hidden="1"/>
    </xf>
    <xf numFmtId="0" fontId="4" fillId="0" borderId="59" xfId="0" quotePrefix="1" applyFont="1" applyBorder="1" applyAlignment="1">
      <alignment horizontal="center" vertical="center"/>
    </xf>
    <xf numFmtId="0" fontId="2" fillId="0" borderId="122" xfId="0" applyFont="1" applyBorder="1" applyAlignment="1">
      <alignment horizontal="center" textRotation="90" wrapText="1"/>
    </xf>
    <xf numFmtId="0" fontId="2" fillId="0" borderId="36" xfId="0" applyFont="1" applyBorder="1" applyAlignment="1">
      <alignment horizontal="center" vertical="center" wrapText="1"/>
    </xf>
    <xf numFmtId="164" fontId="2" fillId="0" borderId="36" xfId="0" applyNumberFormat="1" applyFont="1" applyBorder="1" applyAlignment="1" applyProtection="1">
      <alignment horizontal="center" vertical="center"/>
      <protection hidden="1"/>
    </xf>
    <xf numFmtId="164" fontId="2" fillId="0" borderId="54" xfId="0" applyNumberFormat="1" applyFont="1" applyBorder="1" applyAlignment="1" applyProtection="1">
      <alignment horizontal="center" vertical="center"/>
      <protection hidden="1"/>
    </xf>
    <xf numFmtId="0" fontId="0" fillId="0" borderId="0" xfId="0" quotePrefix="1"/>
    <xf numFmtId="0" fontId="2" fillId="0" borderId="47" xfId="0" applyFont="1" applyBorder="1" applyAlignment="1" applyProtection="1">
      <alignment vertical="center"/>
      <protection hidden="1"/>
    </xf>
    <xf numFmtId="0" fontId="2" fillId="0" borderId="66" xfId="1540" applyFont="1" applyBorder="1" applyAlignment="1" applyProtection="1">
      <alignment horizontal="left" vertical="center"/>
      <protection hidden="1"/>
    </xf>
    <xf numFmtId="165" fontId="2" fillId="0" borderId="6" xfId="0" quotePrefix="1" applyNumberFormat="1" applyFont="1" applyBorder="1" applyAlignment="1">
      <alignment horizontal="center" vertical="center"/>
    </xf>
    <xf numFmtId="165" fontId="4" fillId="0" borderId="50" xfId="0" quotePrefix="1" applyNumberFormat="1" applyFont="1" applyBorder="1" applyAlignment="1">
      <alignment horizontal="center" vertical="center"/>
    </xf>
    <xf numFmtId="165" fontId="4" fillId="0" borderId="16" xfId="0" applyNumberFormat="1" applyFont="1" applyBorder="1" applyAlignment="1">
      <alignment horizontal="center" vertical="center"/>
    </xf>
    <xf numFmtId="165" fontId="4" fillId="0" borderId="26" xfId="0" applyNumberFormat="1" applyFont="1" applyBorder="1" applyAlignment="1">
      <alignment horizontal="center" vertical="center"/>
    </xf>
    <xf numFmtId="165" fontId="4" fillId="0" borderId="38" xfId="0" quotePrefix="1" applyNumberFormat="1" applyFont="1" applyBorder="1" applyAlignment="1">
      <alignment horizontal="center" vertical="center"/>
    </xf>
    <xf numFmtId="165" fontId="2" fillId="0" borderId="38" xfId="0" quotePrefix="1" applyNumberFormat="1" applyFont="1" applyBorder="1" applyAlignment="1">
      <alignment horizontal="center" vertical="center"/>
    </xf>
    <xf numFmtId="165" fontId="2" fillId="0" borderId="6" xfId="0" applyNumberFormat="1" applyFont="1" applyBorder="1" applyAlignment="1">
      <alignment horizontal="center" vertical="center"/>
    </xf>
    <xf numFmtId="0" fontId="4" fillId="0" borderId="74" xfId="0" applyFont="1" applyBorder="1" applyAlignment="1">
      <alignment horizontal="center" vertical="center"/>
    </xf>
    <xf numFmtId="1" fontId="2" fillId="0" borderId="36" xfId="0" applyNumberFormat="1" applyFont="1" applyBorder="1" applyAlignment="1" applyProtection="1">
      <alignment horizontal="center" vertical="center"/>
      <protection hidden="1"/>
    </xf>
    <xf numFmtId="1" fontId="2" fillId="0" borderId="58" xfId="1540" applyNumberFormat="1" applyFont="1" applyBorder="1" applyAlignment="1" applyProtection="1">
      <alignment horizontal="center" vertical="center"/>
      <protection hidden="1"/>
    </xf>
    <xf numFmtId="1" fontId="2" fillId="0" borderId="72" xfId="1540" applyNumberFormat="1" applyFont="1" applyBorder="1" applyAlignment="1" applyProtection="1">
      <alignment horizontal="center" vertical="center"/>
      <protection hidden="1"/>
    </xf>
    <xf numFmtId="1" fontId="2" fillId="0" borderId="82" xfId="1540" applyNumberFormat="1" applyFont="1" applyBorder="1" applyAlignment="1" applyProtection="1">
      <alignment horizontal="center" vertical="center"/>
      <protection hidden="1"/>
    </xf>
    <xf numFmtId="0" fontId="2" fillId="0" borderId="25" xfId="0" applyFont="1" applyBorder="1" applyAlignment="1" applyProtection="1">
      <alignment horizontal="center" textRotation="90"/>
      <protection hidden="1"/>
    </xf>
    <xf numFmtId="0" fontId="2" fillId="0" borderId="17" xfId="0" applyFont="1" applyBorder="1" applyAlignment="1">
      <alignment horizontal="center" vertical="center" wrapText="1"/>
    </xf>
    <xf numFmtId="16" fontId="2" fillId="0" borderId="18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 applyProtection="1">
      <alignment horizontal="center" vertical="center"/>
      <protection locked="0" hidden="1"/>
    </xf>
    <xf numFmtId="0" fontId="2" fillId="0" borderId="10" xfId="0" applyFont="1" applyBorder="1" applyAlignment="1">
      <alignment horizontal="center" textRotation="90" wrapText="1"/>
    </xf>
    <xf numFmtId="0" fontId="2" fillId="0" borderId="27" xfId="0" applyFont="1" applyBorder="1" applyAlignment="1">
      <alignment horizontal="center" vertical="center" wrapText="1"/>
    </xf>
    <xf numFmtId="164" fontId="2" fillId="0" borderId="27" xfId="0" applyNumberFormat="1" applyFont="1" applyBorder="1" applyAlignment="1" applyProtection="1">
      <alignment horizontal="center" vertical="center"/>
      <protection hidden="1"/>
    </xf>
    <xf numFmtId="16" fontId="2" fillId="0" borderId="36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textRotation="90" wrapText="1"/>
    </xf>
    <xf numFmtId="16" fontId="2" fillId="0" borderId="16" xfId="0" applyNumberFormat="1" applyFont="1" applyBorder="1" applyAlignment="1">
      <alignment horizontal="center" vertical="center"/>
    </xf>
    <xf numFmtId="16" fontId="2" fillId="0" borderId="27" xfId="0" applyNumberFormat="1" applyFont="1" applyBorder="1" applyAlignment="1">
      <alignment horizontal="center" vertical="center"/>
    </xf>
    <xf numFmtId="0" fontId="2" fillId="0" borderId="14" xfId="0" quotePrefix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2" fillId="0" borderId="61" xfId="1540" applyNumberFormat="1" applyFont="1" applyBorder="1" applyAlignment="1" applyProtection="1">
      <alignment vertical="center"/>
      <protection hidden="1"/>
    </xf>
    <xf numFmtId="14" fontId="0" fillId="0" borderId="0" xfId="0" applyNumberFormat="1" applyAlignment="1">
      <alignment vertical="center"/>
    </xf>
    <xf numFmtId="0" fontId="5" fillId="0" borderId="39" xfId="0" applyFont="1" applyBorder="1" applyAlignment="1">
      <alignment vertical="center"/>
    </xf>
    <xf numFmtId="1" fontId="5" fillId="0" borderId="72" xfId="0" applyNumberFormat="1" applyFont="1" applyBorder="1" applyAlignment="1">
      <alignment vertical="center"/>
    </xf>
    <xf numFmtId="0" fontId="5" fillId="0" borderId="72" xfId="0" applyFont="1" applyBorder="1" applyAlignment="1">
      <alignment vertical="center"/>
    </xf>
    <xf numFmtId="1" fontId="4" fillId="0" borderId="49" xfId="0" applyNumberFormat="1" applyFont="1" applyBorder="1" applyAlignment="1" applyProtection="1">
      <alignment horizontal="center" vertical="center"/>
      <protection hidden="1"/>
    </xf>
    <xf numFmtId="165" fontId="2" fillId="0" borderId="34" xfId="1540" applyNumberFormat="1" applyFont="1" applyBorder="1" applyAlignment="1" applyProtection="1">
      <alignment vertical="center"/>
      <protection hidden="1"/>
    </xf>
    <xf numFmtId="165" fontId="2" fillId="0" borderId="23" xfId="1540" applyNumberFormat="1" applyFont="1" applyBorder="1" applyAlignment="1" applyProtection="1">
      <alignment vertical="center"/>
      <protection hidden="1"/>
    </xf>
    <xf numFmtId="0" fontId="2" fillId="0" borderId="62" xfId="1540" applyFont="1" applyBorder="1" applyAlignment="1" applyProtection="1">
      <alignment vertical="center"/>
      <protection hidden="1"/>
    </xf>
    <xf numFmtId="0" fontId="2" fillId="0" borderId="51" xfId="1540" applyFont="1" applyBorder="1" applyAlignment="1" applyProtection="1">
      <alignment vertical="center"/>
      <protection hidden="1"/>
    </xf>
    <xf numFmtId="165" fontId="4" fillId="0" borderId="20" xfId="0" applyNumberFormat="1" applyFont="1" applyBorder="1" applyAlignment="1" applyProtection="1">
      <alignment horizontal="center"/>
      <protection hidden="1"/>
    </xf>
    <xf numFmtId="165" fontId="4" fillId="0" borderId="16" xfId="0" applyNumberFormat="1" applyFont="1" applyBorder="1" applyAlignment="1" applyProtection="1">
      <alignment horizontal="center"/>
      <protection hidden="1"/>
    </xf>
    <xf numFmtId="165" fontId="4" fillId="0" borderId="108" xfId="0" applyNumberFormat="1" applyFont="1" applyBorder="1" applyProtection="1">
      <protection hidden="1"/>
    </xf>
    <xf numFmtId="0" fontId="4" fillId="0" borderId="61" xfId="0" applyFont="1" applyBorder="1" applyAlignment="1" applyProtection="1">
      <alignment horizontal="center"/>
      <protection hidden="1"/>
    </xf>
    <xf numFmtId="165" fontId="4" fillId="0" borderId="83" xfId="0" applyNumberFormat="1" applyFont="1" applyBorder="1" applyAlignment="1" applyProtection="1">
      <alignment horizontal="center"/>
      <protection hidden="1"/>
    </xf>
    <xf numFmtId="165" fontId="2" fillId="0" borderId="108" xfId="1540" applyNumberFormat="1" applyFont="1" applyBorder="1" applyAlignment="1" applyProtection="1">
      <alignment vertical="center"/>
      <protection hidden="1"/>
    </xf>
    <xf numFmtId="1" fontId="2" fillId="0" borderId="59" xfId="0" applyNumberFormat="1" applyFont="1" applyBorder="1" applyAlignment="1">
      <alignment horizontal="center" vertical="center"/>
    </xf>
    <xf numFmtId="165" fontId="44" fillId="0" borderId="0" xfId="0" applyNumberFormat="1" applyFont="1" applyAlignment="1">
      <alignment horizontal="center"/>
    </xf>
    <xf numFmtId="0" fontId="2" fillId="0" borderId="36" xfId="0" applyFont="1" applyBorder="1" applyAlignment="1" applyProtection="1">
      <alignment horizontal="center" vertical="center"/>
      <protection hidden="1"/>
    </xf>
    <xf numFmtId="0" fontId="2" fillId="0" borderId="57" xfId="0" applyFont="1" applyBorder="1" applyAlignment="1">
      <alignment horizontal="center" textRotation="90" wrapText="1"/>
    </xf>
    <xf numFmtId="0" fontId="2" fillId="0" borderId="55" xfId="0" applyFont="1" applyBorder="1" applyAlignment="1">
      <alignment horizontal="center" vertical="center" wrapText="1"/>
    </xf>
    <xf numFmtId="0" fontId="48" fillId="0" borderId="0" xfId="0" applyFont="1"/>
    <xf numFmtId="0" fontId="48" fillId="0" borderId="0" xfId="0" applyFont="1" applyAlignment="1" applyProtection="1">
      <alignment horizontal="center"/>
      <protection hidden="1"/>
    </xf>
    <xf numFmtId="0" fontId="2" fillId="0" borderId="7" xfId="0" applyFont="1" applyBorder="1" applyAlignment="1" applyProtection="1">
      <alignment horizontal="center" textRotation="90"/>
      <protection hidden="1"/>
    </xf>
    <xf numFmtId="0" fontId="2" fillId="0" borderId="27" xfId="0" quotePrefix="1" applyFont="1" applyBorder="1" applyAlignment="1" applyProtection="1">
      <alignment horizontal="center" vertical="center"/>
      <protection hidden="1"/>
    </xf>
    <xf numFmtId="1" fontId="2" fillId="0" borderId="18" xfId="0" applyNumberFormat="1" applyFont="1" applyBorder="1" applyAlignment="1" applyProtection="1">
      <alignment horizontal="center" vertical="center"/>
      <protection hidden="1"/>
    </xf>
    <xf numFmtId="1" fontId="2" fillId="0" borderId="15" xfId="1540" applyNumberFormat="1" applyFont="1" applyBorder="1" applyAlignment="1" applyProtection="1">
      <alignment horizontal="center" vertical="center"/>
      <protection hidden="1"/>
    </xf>
    <xf numFmtId="1" fontId="2" fillId="0" borderId="6" xfId="1540" applyNumberFormat="1" applyFont="1" applyBorder="1" applyAlignment="1" applyProtection="1">
      <alignment horizontal="center" vertical="center"/>
      <protection hidden="1"/>
    </xf>
    <xf numFmtId="1" fontId="2" fillId="0" borderId="83" xfId="1540" applyNumberFormat="1" applyFont="1" applyBorder="1" applyAlignment="1" applyProtection="1">
      <alignment horizontal="center" vertical="center"/>
      <protection hidden="1"/>
    </xf>
    <xf numFmtId="0" fontId="46" fillId="0" borderId="0" xfId="0" applyFont="1" applyAlignment="1">
      <alignment horizontal="center"/>
    </xf>
    <xf numFmtId="165" fontId="4" fillId="0" borderId="20" xfId="0" quotePrefix="1" applyNumberFormat="1" applyFont="1" applyBorder="1" applyAlignment="1">
      <alignment horizontal="center" vertical="center"/>
    </xf>
    <xf numFmtId="165" fontId="4" fillId="0" borderId="7" xfId="0" applyNumberFormat="1" applyFont="1" applyBorder="1" applyAlignment="1">
      <alignment horizontal="center" vertical="center"/>
    </xf>
    <xf numFmtId="0" fontId="5" fillId="0" borderId="28" xfId="0" applyFont="1" applyBorder="1" applyAlignment="1" applyProtection="1">
      <alignment vertical="center"/>
      <protection locked="0" hidden="1"/>
    </xf>
    <xf numFmtId="165" fontId="2" fillId="0" borderId="23" xfId="0" applyNumberFormat="1" applyFont="1" applyBorder="1" applyAlignment="1">
      <alignment vertical="center"/>
    </xf>
    <xf numFmtId="165" fontId="2" fillId="0" borderId="22" xfId="0" applyNumberFormat="1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2" fillId="0" borderId="61" xfId="0" applyFont="1" applyBorder="1" applyAlignment="1">
      <alignment vertical="center"/>
    </xf>
    <xf numFmtId="165" fontId="2" fillId="0" borderId="51" xfId="1540" applyNumberFormat="1" applyFont="1" applyBorder="1" applyAlignment="1" applyProtection="1">
      <alignment vertical="center"/>
      <protection hidden="1"/>
    </xf>
    <xf numFmtId="0" fontId="47" fillId="0" borderId="53" xfId="0" applyFont="1" applyBorder="1" applyAlignment="1" applyProtection="1">
      <alignment horizontal="left" vertical="center"/>
      <protection locked="0" hidden="1"/>
    </xf>
    <xf numFmtId="0" fontId="2" fillId="0" borderId="112" xfId="0" applyFont="1" applyBorder="1" applyAlignment="1" applyProtection="1">
      <alignment horizontal="center" textRotation="90"/>
      <protection hidden="1"/>
    </xf>
    <xf numFmtId="0" fontId="2" fillId="0" borderId="113" xfId="0" applyFont="1" applyBorder="1" applyAlignment="1" applyProtection="1">
      <alignment horizontal="center" vertical="center"/>
      <protection hidden="1"/>
    </xf>
    <xf numFmtId="0" fontId="2" fillId="0" borderId="11" xfId="0" applyFont="1" applyBorder="1" applyAlignment="1" applyProtection="1">
      <alignment horizontal="center" textRotation="90"/>
      <protection hidden="1"/>
    </xf>
    <xf numFmtId="0" fontId="2" fillId="0" borderId="71" xfId="0" applyFont="1" applyBorder="1" applyAlignment="1" applyProtection="1">
      <alignment horizontal="center" vertical="center"/>
      <protection hidden="1"/>
    </xf>
    <xf numFmtId="0" fontId="2" fillId="0" borderId="27" xfId="0" applyFont="1" applyBorder="1" applyAlignment="1" applyProtection="1">
      <alignment horizontal="center" vertical="center"/>
      <protection hidden="1"/>
    </xf>
    <xf numFmtId="0" fontId="2" fillId="0" borderId="128" xfId="0" applyFont="1" applyBorder="1" applyAlignment="1" applyProtection="1">
      <alignment horizontal="center" textRotation="90" wrapText="1"/>
      <protection hidden="1"/>
    </xf>
    <xf numFmtId="0" fontId="2" fillId="0" borderId="27" xfId="0" quotePrefix="1" applyFont="1" applyBorder="1" applyAlignment="1">
      <alignment horizontal="center" vertical="center"/>
    </xf>
    <xf numFmtId="0" fontId="2" fillId="0" borderId="71" xfId="0" applyFont="1" applyBorder="1" applyAlignment="1" applyProtection="1">
      <alignment horizontal="center" textRotation="90"/>
      <protection hidden="1"/>
    </xf>
    <xf numFmtId="0" fontId="2" fillId="0" borderId="135" xfId="0" applyFont="1" applyBorder="1" applyAlignment="1">
      <alignment horizontal="center" vertical="center" wrapText="1"/>
    </xf>
    <xf numFmtId="0" fontId="2" fillId="0" borderId="54" xfId="0" applyFont="1" applyBorder="1" applyAlignment="1" applyProtection="1">
      <alignment horizontal="center" vertical="center"/>
      <protection locked="0" hidden="1"/>
    </xf>
    <xf numFmtId="0" fontId="30" fillId="0" borderId="9" xfId="0" applyFont="1" applyBorder="1" applyAlignment="1">
      <alignment horizontal="center" textRotation="90"/>
    </xf>
    <xf numFmtId="0" fontId="2" fillId="0" borderId="41" xfId="0" applyFont="1" applyBorder="1" applyAlignment="1">
      <alignment horizontal="center" textRotation="90" wrapText="1"/>
    </xf>
    <xf numFmtId="0" fontId="2" fillId="0" borderId="35" xfId="0" quotePrefix="1" applyFont="1" applyBorder="1" applyAlignment="1" applyProtection="1">
      <alignment horizontal="center" vertical="center"/>
      <protection locked="0" hidden="1"/>
    </xf>
    <xf numFmtId="0" fontId="2" fillId="0" borderId="89" xfId="0" applyFont="1" applyBorder="1" applyAlignment="1">
      <alignment horizontal="center" vertical="center"/>
    </xf>
    <xf numFmtId="165" fontId="2" fillId="0" borderId="16" xfId="0" applyNumberFormat="1" applyFont="1" applyBorder="1" applyAlignment="1">
      <alignment horizontal="center" vertical="center"/>
    </xf>
    <xf numFmtId="0" fontId="2" fillId="0" borderId="0" xfId="0" applyFont="1" applyAlignment="1" applyProtection="1">
      <alignment horizontal="center" textRotation="90" wrapText="1"/>
      <protection hidden="1"/>
    </xf>
    <xf numFmtId="0" fontId="2" fillId="0" borderId="0" xfId="0" applyFont="1" applyAlignment="1" applyProtection="1">
      <alignment horizontal="center" textRotation="90"/>
      <protection hidden="1"/>
    </xf>
    <xf numFmtId="0" fontId="2" fillId="0" borderId="57" xfId="0" applyFont="1" applyBorder="1" applyAlignment="1">
      <alignment horizontal="center"/>
    </xf>
    <xf numFmtId="0" fontId="4" fillId="0" borderId="51" xfId="0" applyFont="1" applyBorder="1" applyAlignment="1" applyProtection="1">
      <alignment horizontal="left" vertical="center"/>
      <protection hidden="1"/>
    </xf>
    <xf numFmtId="0" fontId="4" fillId="0" borderId="13" xfId="0" applyFont="1" applyBorder="1" applyAlignment="1" applyProtection="1">
      <alignment horizontal="center" textRotation="90"/>
      <protection hidden="1"/>
    </xf>
    <xf numFmtId="1" fontId="4" fillId="0" borderId="94" xfId="0" applyNumberFormat="1" applyFont="1" applyBorder="1" applyAlignment="1" applyProtection="1">
      <alignment horizontal="center"/>
      <protection hidden="1"/>
    </xf>
    <xf numFmtId="1" fontId="4" fillId="0" borderId="90" xfId="0" applyNumberFormat="1" applyFont="1" applyBorder="1" applyAlignment="1" applyProtection="1">
      <alignment horizontal="center"/>
      <protection hidden="1"/>
    </xf>
    <xf numFmtId="1" fontId="4" fillId="0" borderId="92" xfId="0" applyNumberFormat="1" applyFont="1" applyBorder="1" applyAlignment="1" applyProtection="1">
      <alignment horizontal="center"/>
      <protection hidden="1"/>
    </xf>
    <xf numFmtId="1" fontId="4" fillId="0" borderId="88" xfId="0" applyNumberFormat="1" applyFont="1" applyBorder="1" applyAlignment="1" applyProtection="1">
      <alignment horizontal="center"/>
      <protection hidden="1"/>
    </xf>
    <xf numFmtId="165" fontId="4" fillId="0" borderId="90" xfId="0" applyNumberFormat="1" applyFont="1" applyBorder="1" applyAlignment="1" applyProtection="1">
      <alignment horizontal="center"/>
      <protection hidden="1"/>
    </xf>
    <xf numFmtId="165" fontId="4" fillId="0" borderId="70" xfId="0" applyNumberFormat="1" applyFont="1" applyBorder="1" applyAlignment="1" applyProtection="1">
      <alignment horizontal="center"/>
      <protection hidden="1"/>
    </xf>
    <xf numFmtId="165" fontId="2" fillId="0" borderId="126" xfId="0" quotePrefix="1" applyNumberFormat="1" applyFont="1" applyBorder="1" applyAlignment="1" applyProtection="1">
      <alignment horizontal="center"/>
      <protection hidden="1"/>
    </xf>
    <xf numFmtId="1" fontId="2" fillId="0" borderId="88" xfId="0" quotePrefix="1" applyNumberFormat="1" applyFont="1" applyBorder="1" applyAlignment="1" applyProtection="1">
      <alignment horizontal="center"/>
      <protection hidden="1"/>
    </xf>
    <xf numFmtId="1" fontId="2" fillId="0" borderId="90" xfId="0" quotePrefix="1" applyNumberFormat="1" applyFont="1" applyBorder="1" applyAlignment="1" applyProtection="1">
      <alignment horizontal="center"/>
      <protection hidden="1"/>
    </xf>
    <xf numFmtId="0" fontId="2" fillId="0" borderId="92" xfId="0" quotePrefix="1" applyFont="1" applyBorder="1" applyAlignment="1" applyProtection="1">
      <alignment horizontal="center"/>
      <protection hidden="1"/>
    </xf>
    <xf numFmtId="0" fontId="2" fillId="0" borderId="54" xfId="0" quotePrefix="1" applyFont="1" applyBorder="1" applyAlignment="1" applyProtection="1">
      <alignment horizontal="center"/>
      <protection hidden="1"/>
    </xf>
    <xf numFmtId="0" fontId="4" fillId="0" borderId="88" xfId="0" applyFont="1" applyBorder="1" applyAlignment="1" applyProtection="1">
      <alignment horizontal="center"/>
      <protection hidden="1"/>
    </xf>
    <xf numFmtId="0" fontId="4" fillId="0" borderId="142" xfId="1540" applyBorder="1" applyAlignment="1" applyProtection="1">
      <alignment horizontal="center"/>
      <protection hidden="1"/>
    </xf>
    <xf numFmtId="1" fontId="2" fillId="0" borderId="91" xfId="0" quotePrefix="1" applyNumberFormat="1" applyFont="1" applyBorder="1" applyAlignment="1" applyProtection="1">
      <alignment horizontal="center" vertical="center"/>
      <protection hidden="1"/>
    </xf>
    <xf numFmtId="165" fontId="4" fillId="0" borderId="94" xfId="0" applyNumberFormat="1" applyFont="1" applyBorder="1" applyAlignment="1" applyProtection="1">
      <alignment horizontal="center" vertical="center"/>
      <protection hidden="1"/>
    </xf>
    <xf numFmtId="0" fontId="4" fillId="0" borderId="22" xfId="0" applyFont="1" applyBorder="1" applyAlignment="1" applyProtection="1">
      <alignment horizontal="center" vertical="center"/>
      <protection hidden="1"/>
    </xf>
    <xf numFmtId="0" fontId="4" fillId="0" borderId="57" xfId="0" applyFont="1" applyBorder="1" applyProtection="1">
      <protection hidden="1"/>
    </xf>
    <xf numFmtId="0" fontId="4" fillId="0" borderId="57" xfId="0" applyFont="1" applyBorder="1" applyAlignment="1" applyProtection="1">
      <alignment horizontal="center"/>
      <protection hidden="1"/>
    </xf>
    <xf numFmtId="1" fontId="4" fillId="0" borderId="105" xfId="0" applyNumberFormat="1" applyFont="1" applyBorder="1" applyAlignment="1" applyProtection="1">
      <alignment horizontal="center" vertical="center"/>
      <protection hidden="1"/>
    </xf>
    <xf numFmtId="1" fontId="4" fillId="0" borderId="88" xfId="0" applyNumberFormat="1" applyFont="1" applyBorder="1" applyAlignment="1" applyProtection="1">
      <alignment horizontal="center" vertical="center"/>
      <protection hidden="1"/>
    </xf>
    <xf numFmtId="1" fontId="4" fillId="0" borderId="106" xfId="0" applyNumberFormat="1" applyFont="1" applyBorder="1" applyAlignment="1" applyProtection="1">
      <alignment horizontal="center" vertical="center"/>
      <protection hidden="1"/>
    </xf>
    <xf numFmtId="1" fontId="4" fillId="0" borderId="90" xfId="0" applyNumberFormat="1" applyFont="1" applyBorder="1" applyAlignment="1" applyProtection="1">
      <alignment horizontal="center" vertical="center"/>
      <protection hidden="1"/>
    </xf>
    <xf numFmtId="1" fontId="4" fillId="0" borderId="106" xfId="0" quotePrefix="1" applyNumberFormat="1" applyFont="1" applyBorder="1" applyAlignment="1" applyProtection="1">
      <alignment horizontal="center" vertical="center"/>
      <protection hidden="1"/>
    </xf>
    <xf numFmtId="1" fontId="4" fillId="0" borderId="107" xfId="0" applyNumberFormat="1" applyFont="1" applyBorder="1" applyAlignment="1" applyProtection="1">
      <alignment horizontal="center" vertical="center"/>
      <protection hidden="1"/>
    </xf>
    <xf numFmtId="1" fontId="4" fillId="0" borderId="126" xfId="0" applyNumberFormat="1" applyFont="1" applyBorder="1" applyAlignment="1" applyProtection="1">
      <alignment horizontal="center" vertical="center"/>
      <protection hidden="1"/>
    </xf>
    <xf numFmtId="1" fontId="4" fillId="0" borderId="92" xfId="0" applyNumberFormat="1" applyFont="1" applyBorder="1" applyAlignment="1" applyProtection="1">
      <alignment horizontal="center" vertical="center"/>
      <protection hidden="1"/>
    </xf>
    <xf numFmtId="165" fontId="4" fillId="0" borderId="107" xfId="0" applyNumberFormat="1" applyFont="1" applyBorder="1" applyAlignment="1" applyProtection="1">
      <alignment horizontal="center" vertical="center"/>
      <protection hidden="1"/>
    </xf>
    <xf numFmtId="165" fontId="4" fillId="0" borderId="72" xfId="0" applyNumberFormat="1" applyFont="1" applyBorder="1" applyAlignment="1" applyProtection="1">
      <alignment horizontal="center" vertical="center"/>
      <protection hidden="1"/>
    </xf>
    <xf numFmtId="165" fontId="4" fillId="0" borderId="6" xfId="0" applyNumberFormat="1" applyFont="1" applyBorder="1" applyAlignment="1" applyProtection="1">
      <alignment horizontal="center" vertical="center"/>
      <protection hidden="1"/>
    </xf>
    <xf numFmtId="1" fontId="4" fillId="0" borderId="125" xfId="0" applyNumberFormat="1" applyFont="1" applyBorder="1" applyAlignment="1" applyProtection="1">
      <alignment horizontal="center" vertical="center"/>
      <protection hidden="1"/>
    </xf>
    <xf numFmtId="1" fontId="4" fillId="0" borderId="71" xfId="0" applyNumberFormat="1" applyFont="1" applyBorder="1" applyAlignment="1" applyProtection="1">
      <alignment horizontal="center" vertical="center"/>
      <protection hidden="1"/>
    </xf>
    <xf numFmtId="165" fontId="4" fillId="0" borderId="106" xfId="0" applyNumberFormat="1" applyFont="1" applyBorder="1" applyAlignment="1" applyProtection="1">
      <alignment horizontal="center" vertical="center"/>
      <protection hidden="1"/>
    </xf>
    <xf numFmtId="165" fontId="2" fillId="0" borderId="72" xfId="0" applyNumberFormat="1" applyFont="1" applyBorder="1" applyAlignment="1" applyProtection="1">
      <alignment horizontal="center" vertical="center"/>
      <protection hidden="1"/>
    </xf>
    <xf numFmtId="165" fontId="4" fillId="0" borderId="75" xfId="0" quotePrefix="1" applyNumberFormat="1" applyFont="1" applyBorder="1" applyAlignment="1" applyProtection="1">
      <alignment horizontal="center" vertical="center"/>
      <protection hidden="1"/>
    </xf>
    <xf numFmtId="165" fontId="4" fillId="0" borderId="19" xfId="0" quotePrefix="1" applyNumberFormat="1" applyFont="1" applyBorder="1" applyAlignment="1" applyProtection="1">
      <alignment horizontal="center" vertical="center"/>
      <protection hidden="1"/>
    </xf>
    <xf numFmtId="165" fontId="4" fillId="0" borderId="86" xfId="0" quotePrefix="1" applyNumberFormat="1" applyFont="1" applyBorder="1" applyAlignment="1" applyProtection="1">
      <alignment horizontal="center" vertical="center"/>
      <protection hidden="1"/>
    </xf>
    <xf numFmtId="165" fontId="4" fillId="0" borderId="93" xfId="0" quotePrefix="1" applyNumberFormat="1" applyFont="1" applyBorder="1" applyAlignment="1" applyProtection="1">
      <alignment horizontal="center" vertical="center" wrapText="1"/>
      <protection hidden="1"/>
    </xf>
    <xf numFmtId="165" fontId="4" fillId="0" borderId="94" xfId="0" quotePrefix="1" applyNumberFormat="1" applyFont="1" applyBorder="1" applyAlignment="1" applyProtection="1">
      <alignment horizontal="center" vertical="center"/>
      <protection hidden="1"/>
    </xf>
    <xf numFmtId="165" fontId="2" fillId="0" borderId="19" xfId="0" quotePrefix="1" applyNumberFormat="1" applyFont="1" applyBorder="1" applyAlignment="1" applyProtection="1">
      <alignment horizontal="center" vertical="center"/>
      <protection hidden="1"/>
    </xf>
    <xf numFmtId="165" fontId="2" fillId="0" borderId="86" xfId="0" quotePrefix="1" applyNumberFormat="1" applyFont="1" applyBorder="1" applyAlignment="1" applyProtection="1">
      <alignment horizontal="center" vertical="center"/>
      <protection hidden="1"/>
    </xf>
    <xf numFmtId="165" fontId="4" fillId="0" borderId="86" xfId="0" applyNumberFormat="1" applyFont="1" applyBorder="1" applyAlignment="1" applyProtection="1">
      <alignment horizontal="center" vertical="center"/>
      <protection hidden="1"/>
    </xf>
    <xf numFmtId="165" fontId="4" fillId="0" borderId="15" xfId="0" quotePrefix="1" applyNumberFormat="1" applyFont="1" applyBorder="1" applyAlignment="1" applyProtection="1">
      <alignment horizontal="center" vertical="center"/>
      <protection hidden="1"/>
    </xf>
    <xf numFmtId="165" fontId="4" fillId="0" borderId="58" xfId="0" quotePrefix="1" applyNumberFormat="1" applyFont="1" applyBorder="1" applyAlignment="1" applyProtection="1">
      <alignment horizontal="center" vertical="center"/>
      <protection hidden="1"/>
    </xf>
    <xf numFmtId="165" fontId="4" fillId="0" borderId="89" xfId="0" quotePrefix="1" applyNumberFormat="1" applyFont="1" applyBorder="1" applyAlignment="1" applyProtection="1">
      <alignment horizontal="center" vertical="center" wrapText="1"/>
      <protection hidden="1"/>
    </xf>
    <xf numFmtId="165" fontId="4" fillId="0" borderId="90" xfId="0" quotePrefix="1" applyNumberFormat="1" applyFont="1" applyBorder="1" applyAlignment="1" applyProtection="1">
      <alignment horizontal="center" vertical="center"/>
      <protection hidden="1"/>
    </xf>
    <xf numFmtId="165" fontId="4" fillId="0" borderId="6" xfId="0" quotePrefix="1" applyNumberFormat="1" applyFont="1" applyBorder="1" applyAlignment="1" applyProtection="1">
      <alignment horizontal="center" vertical="center"/>
      <protection hidden="1"/>
    </xf>
    <xf numFmtId="165" fontId="4" fillId="0" borderId="72" xfId="0" quotePrefix="1" applyNumberFormat="1" applyFont="1" applyBorder="1" applyAlignment="1" applyProtection="1">
      <alignment horizontal="center" vertical="center"/>
      <protection hidden="1"/>
    </xf>
    <xf numFmtId="165" fontId="4" fillId="0" borderId="91" xfId="0" quotePrefix="1" applyNumberFormat="1" applyFont="1" applyBorder="1" applyAlignment="1" applyProtection="1">
      <alignment horizontal="center" vertical="center" wrapText="1"/>
      <protection hidden="1"/>
    </xf>
    <xf numFmtId="165" fontId="2" fillId="0" borderId="72" xfId="0" quotePrefix="1" applyNumberFormat="1" applyFont="1" applyBorder="1" applyAlignment="1" applyProtection="1">
      <alignment horizontal="center" vertical="center"/>
      <protection hidden="1"/>
    </xf>
    <xf numFmtId="165" fontId="2" fillId="0" borderId="7" xfId="0" quotePrefix="1" applyNumberFormat="1" applyFont="1" applyBorder="1" applyAlignment="1" applyProtection="1">
      <alignment horizontal="center" vertical="center"/>
      <protection hidden="1"/>
    </xf>
    <xf numFmtId="165" fontId="4" fillId="0" borderId="7" xfId="0" applyNumberFormat="1" applyFont="1" applyBorder="1" applyAlignment="1" applyProtection="1">
      <alignment horizontal="center" vertical="center"/>
      <protection hidden="1"/>
    </xf>
    <xf numFmtId="165" fontId="2" fillId="0" borderId="6" xfId="0" quotePrefix="1" applyNumberFormat="1" applyFont="1" applyBorder="1" applyAlignment="1" applyProtection="1">
      <alignment horizontal="center" vertical="center"/>
      <protection hidden="1"/>
    </xf>
    <xf numFmtId="165" fontId="4" fillId="0" borderId="91" xfId="0" applyNumberFormat="1" applyFont="1" applyBorder="1" applyAlignment="1" applyProtection="1">
      <alignment horizontal="center" vertical="center" wrapText="1"/>
      <protection hidden="1"/>
    </xf>
    <xf numFmtId="165" fontId="4" fillId="0" borderId="126" xfId="0" quotePrefix="1" applyNumberFormat="1" applyFont="1" applyBorder="1" applyAlignment="1" applyProtection="1">
      <alignment horizontal="center" vertical="center"/>
      <protection hidden="1"/>
    </xf>
    <xf numFmtId="0" fontId="4" fillId="0" borderId="36" xfId="0" applyFont="1" applyBorder="1" applyAlignment="1" applyProtection="1">
      <alignment horizontal="center" vertical="center"/>
      <protection hidden="1"/>
    </xf>
    <xf numFmtId="0" fontId="4" fillId="0" borderId="35" xfId="0" quotePrefix="1" applyFont="1" applyBorder="1" applyAlignment="1" applyProtection="1">
      <alignment horizontal="center" vertical="center"/>
      <protection hidden="1"/>
    </xf>
    <xf numFmtId="0" fontId="4" fillId="0" borderId="54" xfId="0" applyFont="1" applyBorder="1" applyAlignment="1" applyProtection="1">
      <alignment horizontal="center" vertical="center"/>
      <protection hidden="1"/>
    </xf>
    <xf numFmtId="0" fontId="4" fillId="0" borderId="19" xfId="0" applyFont="1" applyBorder="1" applyAlignment="1" applyProtection="1">
      <alignment horizontal="center" vertical="center"/>
      <protection hidden="1"/>
    </xf>
    <xf numFmtId="0" fontId="4" fillId="0" borderId="86" xfId="0" applyFont="1" applyBorder="1" applyAlignment="1" applyProtection="1">
      <alignment horizontal="center" vertical="center"/>
      <protection hidden="1"/>
    </xf>
    <xf numFmtId="0" fontId="4" fillId="0" borderId="77" xfId="0" applyFont="1" applyBorder="1" applyAlignment="1" applyProtection="1">
      <alignment horizontal="center" vertical="center"/>
      <protection hidden="1"/>
    </xf>
    <xf numFmtId="0" fontId="4" fillId="0" borderId="94" xfId="0" applyFont="1" applyBorder="1" applyAlignment="1" applyProtection="1">
      <alignment horizontal="center" vertical="center"/>
      <protection hidden="1"/>
    </xf>
    <xf numFmtId="0" fontId="4" fillId="0" borderId="15" xfId="0" applyFont="1" applyBorder="1" applyAlignment="1" applyProtection="1">
      <alignment horizontal="center" vertical="center"/>
      <protection hidden="1"/>
    </xf>
    <xf numFmtId="0" fontId="4" fillId="0" borderId="58" xfId="0" applyFont="1" applyBorder="1" applyAlignment="1" applyProtection="1">
      <alignment horizontal="center" vertical="center"/>
      <protection hidden="1"/>
    </xf>
    <xf numFmtId="0" fontId="4" fillId="0" borderId="29" xfId="0" applyFont="1" applyBorder="1" applyAlignment="1" applyProtection="1">
      <alignment horizontal="center" vertical="center"/>
      <protection hidden="1"/>
    </xf>
    <xf numFmtId="0" fontId="4" fillId="0" borderId="90" xfId="0" applyFont="1" applyBorder="1" applyAlignment="1" applyProtection="1">
      <alignment horizontal="center" vertical="center"/>
      <protection hidden="1"/>
    </xf>
    <xf numFmtId="0" fontId="4" fillId="0" borderId="6" xfId="0" quotePrefix="1" applyFont="1" applyBorder="1" applyAlignment="1" applyProtection="1">
      <alignment horizontal="center" vertical="center"/>
      <protection hidden="1"/>
    </xf>
    <xf numFmtId="0" fontId="4" fillId="0" borderId="72" xfId="0" quotePrefix="1" applyFont="1" applyBorder="1" applyAlignment="1" applyProtection="1">
      <alignment horizontal="center" vertical="center"/>
      <protection hidden="1"/>
    </xf>
    <xf numFmtId="0" fontId="4" fillId="0" borderId="30" xfId="0" quotePrefix="1" applyFont="1" applyBorder="1" applyAlignment="1" applyProtection="1">
      <alignment horizontal="center" vertical="center"/>
      <protection hidden="1"/>
    </xf>
    <xf numFmtId="0" fontId="13" fillId="0" borderId="0" xfId="0" applyFont="1" applyAlignment="1" applyProtection="1">
      <alignment horizontal="center"/>
      <protection locked="0" hidden="1"/>
    </xf>
    <xf numFmtId="0" fontId="13" fillId="0" borderId="0" xfId="0" applyFont="1" applyAlignment="1">
      <alignment horizontal="center"/>
    </xf>
    <xf numFmtId="165" fontId="4" fillId="0" borderId="15" xfId="0" applyNumberFormat="1" applyFont="1" applyBorder="1" applyAlignment="1" applyProtection="1">
      <alignment horizontal="center" vertical="center"/>
      <protection locked="0" hidden="1"/>
    </xf>
    <xf numFmtId="165" fontId="4" fillId="0" borderId="15" xfId="0" quotePrefix="1" applyNumberFormat="1" applyFont="1" applyBorder="1" applyAlignment="1" applyProtection="1">
      <alignment horizontal="center" vertical="center"/>
      <protection locked="0" hidden="1"/>
    </xf>
    <xf numFmtId="165" fontId="2" fillId="0" borderId="58" xfId="0" quotePrefix="1" applyNumberFormat="1" applyFont="1" applyBorder="1" applyAlignment="1" applyProtection="1">
      <alignment horizontal="center" vertical="center"/>
      <protection hidden="1"/>
    </xf>
    <xf numFmtId="165" fontId="4" fillId="0" borderId="14" xfId="0" quotePrefix="1" applyNumberFormat="1" applyFont="1" applyBorder="1" applyAlignment="1" applyProtection="1">
      <alignment horizontal="center" vertical="center"/>
      <protection hidden="1"/>
    </xf>
    <xf numFmtId="165" fontId="2" fillId="0" borderId="15" xfId="0" quotePrefix="1" applyNumberFormat="1" applyFont="1" applyBorder="1" applyAlignment="1" applyProtection="1">
      <alignment horizontal="center" vertical="center"/>
      <protection hidden="1"/>
    </xf>
    <xf numFmtId="165" fontId="2" fillId="0" borderId="14" xfId="0" quotePrefix="1" applyNumberFormat="1" applyFont="1" applyBorder="1" applyAlignment="1" applyProtection="1">
      <alignment horizontal="center" vertical="center"/>
      <protection hidden="1"/>
    </xf>
    <xf numFmtId="165" fontId="4" fillId="0" borderId="6" xfId="0" applyNumberFormat="1" applyFont="1" applyBorder="1" applyAlignment="1" applyProtection="1">
      <alignment horizontal="center" vertical="center"/>
      <protection locked="0" hidden="1"/>
    </xf>
    <xf numFmtId="0" fontId="4" fillId="0" borderId="18" xfId="0" quotePrefix="1" applyFont="1" applyBorder="1" applyAlignment="1" applyProtection="1">
      <alignment horizontal="center" vertical="center"/>
      <protection locked="0" hidden="1"/>
    </xf>
    <xf numFmtId="0" fontId="12" fillId="0" borderId="27" xfId="0" quotePrefix="1" applyFont="1" applyBorder="1" applyAlignment="1" applyProtection="1">
      <alignment horizontal="center" vertical="center"/>
      <protection locked="0" hidden="1"/>
    </xf>
    <xf numFmtId="0" fontId="12" fillId="0" borderId="18" xfId="0" applyFont="1" applyBorder="1" applyAlignment="1" applyProtection="1">
      <alignment horizontal="center" vertical="center"/>
      <protection hidden="1"/>
    </xf>
    <xf numFmtId="0" fontId="12" fillId="0" borderId="36" xfId="0" applyFont="1" applyBorder="1" applyAlignment="1" applyProtection="1">
      <alignment horizontal="center" vertical="center"/>
      <protection hidden="1"/>
    </xf>
    <xf numFmtId="0" fontId="2" fillId="0" borderId="18" xfId="0" quotePrefix="1" applyFont="1" applyBorder="1" applyAlignment="1" applyProtection="1">
      <alignment horizontal="center" vertical="center"/>
      <protection hidden="1"/>
    </xf>
    <xf numFmtId="1" fontId="4" fillId="0" borderId="19" xfId="0" quotePrefix="1" applyNumberFormat="1" applyFont="1" applyBorder="1" applyAlignment="1" applyProtection="1">
      <alignment horizontal="center" vertical="center"/>
      <protection locked="0" hidden="1"/>
    </xf>
    <xf numFmtId="1" fontId="4" fillId="0" borderId="87" xfId="0" quotePrefix="1" applyNumberFormat="1" applyFont="1" applyBorder="1" applyAlignment="1" applyProtection="1">
      <alignment horizontal="center" vertical="center"/>
      <protection locked="0" hidden="1"/>
    </xf>
    <xf numFmtId="1" fontId="4" fillId="0" borderId="15" xfId="0" quotePrefix="1" applyNumberFormat="1" applyFont="1" applyBorder="1" applyAlignment="1" applyProtection="1">
      <alignment horizontal="center" vertical="center"/>
      <protection locked="0" hidden="1"/>
    </xf>
    <xf numFmtId="1" fontId="4" fillId="0" borderId="89" xfId="0" quotePrefix="1" applyNumberFormat="1" applyFont="1" applyBorder="1" applyAlignment="1" applyProtection="1">
      <alignment horizontal="center" vertical="center"/>
      <protection locked="0" hidden="1"/>
    </xf>
    <xf numFmtId="0" fontId="4" fillId="0" borderId="103" xfId="0" quotePrefix="1" applyFont="1" applyBorder="1" applyAlignment="1" applyProtection="1">
      <alignment horizontal="center" vertical="center"/>
      <protection locked="0" hidden="1"/>
    </xf>
    <xf numFmtId="0" fontId="4" fillId="0" borderId="91" xfId="0" quotePrefix="1" applyFont="1" applyBorder="1" applyAlignment="1" applyProtection="1">
      <alignment horizontal="center" vertical="center"/>
      <protection locked="0" hidden="1"/>
    </xf>
    <xf numFmtId="165" fontId="2" fillId="0" borderId="83" xfId="0" quotePrefix="1" applyNumberFormat="1" applyFont="1" applyBorder="1" applyAlignment="1" applyProtection="1">
      <alignment horizontal="center" vertical="center"/>
      <protection hidden="1"/>
    </xf>
    <xf numFmtId="165" fontId="4" fillId="0" borderId="91" xfId="0" applyNumberFormat="1" applyFont="1" applyBorder="1" applyAlignment="1" applyProtection="1">
      <alignment horizontal="center" vertical="center"/>
      <protection locked="0" hidden="1"/>
    </xf>
    <xf numFmtId="165" fontId="4" fillId="0" borderId="89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91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30" xfId="0" quotePrefix="1" applyNumberFormat="1" applyFont="1" applyBorder="1" applyAlignment="1" applyProtection="1">
      <alignment horizontal="center" vertical="center"/>
      <protection locked="0" hidden="1"/>
    </xf>
    <xf numFmtId="0" fontId="4" fillId="0" borderId="36" xfId="0" quotePrefix="1" applyFont="1" applyBorder="1" applyAlignment="1" applyProtection="1">
      <alignment horizontal="center" vertical="center"/>
      <protection locked="0" hidden="1"/>
    </xf>
    <xf numFmtId="0" fontId="4" fillId="0" borderId="7" xfId="0" applyFont="1" applyBorder="1" applyAlignment="1" applyProtection="1">
      <alignment horizontal="center" vertical="center"/>
      <protection hidden="1"/>
    </xf>
    <xf numFmtId="0" fontId="4" fillId="0" borderId="16" xfId="0" applyFont="1" applyBorder="1" applyAlignment="1" applyProtection="1">
      <alignment horizontal="center" vertical="center"/>
      <protection hidden="1"/>
    </xf>
    <xf numFmtId="165" fontId="4" fillId="0" borderId="83" xfId="0" applyNumberFormat="1" applyFont="1" applyBorder="1" applyAlignment="1" applyProtection="1">
      <alignment horizontal="center" vertical="center"/>
      <protection hidden="1"/>
    </xf>
    <xf numFmtId="165" fontId="0" fillId="0" borderId="0" xfId="0" applyNumberFormat="1" applyAlignment="1">
      <alignment horizontal="right" vertical="center"/>
    </xf>
    <xf numFmtId="165" fontId="2" fillId="0" borderId="127" xfId="0" quotePrefix="1" applyNumberFormat="1" applyFont="1" applyBorder="1" applyAlignment="1">
      <alignment horizontal="center" vertical="center"/>
    </xf>
    <xf numFmtId="165" fontId="2" fillId="0" borderId="98" xfId="0" quotePrefix="1" applyNumberFormat="1" applyFont="1" applyBorder="1" applyAlignment="1">
      <alignment horizontal="center" vertical="center"/>
    </xf>
    <xf numFmtId="165" fontId="2" fillId="0" borderId="110" xfId="0" quotePrefix="1" applyNumberFormat="1" applyFont="1" applyBorder="1" applyAlignment="1">
      <alignment horizontal="center" vertical="center"/>
    </xf>
    <xf numFmtId="0" fontId="2" fillId="0" borderId="56" xfId="0" quotePrefix="1" applyFont="1" applyBorder="1" applyAlignment="1">
      <alignment horizontal="center" vertical="center"/>
    </xf>
    <xf numFmtId="1" fontId="4" fillId="0" borderId="87" xfId="0" applyNumberFormat="1" applyFont="1" applyBorder="1" applyAlignment="1">
      <alignment horizontal="center" vertical="center"/>
    </xf>
    <xf numFmtId="0" fontId="4" fillId="0" borderId="146" xfId="0" applyFont="1" applyBorder="1" applyAlignment="1">
      <alignment horizontal="center" vertical="center"/>
    </xf>
    <xf numFmtId="1" fontId="4" fillId="0" borderId="84" xfId="0" applyNumberFormat="1" applyFont="1" applyBorder="1" applyAlignment="1">
      <alignment horizontal="center" vertical="center"/>
    </xf>
    <xf numFmtId="165" fontId="4" fillId="0" borderId="104" xfId="0" applyNumberFormat="1" applyFont="1" applyBorder="1" applyAlignment="1">
      <alignment horizontal="center" vertical="center"/>
    </xf>
    <xf numFmtId="1" fontId="4" fillId="0" borderId="85" xfId="0" applyNumberFormat="1" applyFont="1" applyBorder="1" applyAlignment="1" applyProtection="1">
      <alignment horizontal="center" vertical="center"/>
      <protection hidden="1"/>
    </xf>
    <xf numFmtId="0" fontId="5" fillId="0" borderId="74" xfId="0" applyFont="1" applyBorder="1" applyAlignment="1">
      <alignment horizontal="center" vertical="center"/>
    </xf>
    <xf numFmtId="1" fontId="4" fillId="0" borderId="148" xfId="0" applyNumberFormat="1" applyFont="1" applyBorder="1" applyAlignment="1">
      <alignment horizontal="center" vertical="center"/>
    </xf>
    <xf numFmtId="1" fontId="4" fillId="0" borderId="85" xfId="0" applyNumberFormat="1" applyFont="1" applyBorder="1" applyAlignment="1">
      <alignment horizontal="center" vertical="center"/>
    </xf>
    <xf numFmtId="1" fontId="4" fillId="0" borderId="92" xfId="0" applyNumberFormat="1" applyFont="1" applyBorder="1" applyAlignment="1">
      <alignment horizontal="center" vertical="center"/>
    </xf>
    <xf numFmtId="165" fontId="5" fillId="0" borderId="74" xfId="0" applyNumberFormat="1" applyFont="1" applyBorder="1" applyAlignment="1">
      <alignment horizontal="center" vertical="center"/>
    </xf>
    <xf numFmtId="1" fontId="4" fillId="0" borderId="104" xfId="0" applyNumberFormat="1" applyFont="1" applyBorder="1" applyAlignment="1">
      <alignment horizontal="center" vertical="center"/>
    </xf>
    <xf numFmtId="165" fontId="4" fillId="0" borderId="147" xfId="0" applyNumberFormat="1" applyFont="1" applyBorder="1" applyAlignment="1">
      <alignment horizontal="center" vertical="center"/>
    </xf>
    <xf numFmtId="1" fontId="4" fillId="0" borderId="147" xfId="0" applyNumberFormat="1" applyFont="1" applyBorder="1" applyAlignment="1">
      <alignment horizontal="center" vertical="center"/>
    </xf>
    <xf numFmtId="165" fontId="4" fillId="0" borderId="85" xfId="0" applyNumberFormat="1" applyFont="1" applyBorder="1" applyAlignment="1">
      <alignment horizontal="center" vertical="center"/>
    </xf>
    <xf numFmtId="165" fontId="2" fillId="0" borderId="149" xfId="0" applyNumberFormat="1" applyFont="1" applyBorder="1" applyAlignment="1">
      <alignment horizontal="center" vertical="center"/>
    </xf>
    <xf numFmtId="165" fontId="4" fillId="0" borderId="141" xfId="0" applyNumberFormat="1" applyFont="1" applyBorder="1" applyAlignment="1">
      <alignment horizontal="center" vertical="center"/>
    </xf>
    <xf numFmtId="165" fontId="4" fillId="0" borderId="149" xfId="0" applyNumberFormat="1" applyFont="1" applyBorder="1" applyAlignment="1">
      <alignment horizontal="center" vertical="center"/>
    </xf>
    <xf numFmtId="0" fontId="2" fillId="0" borderId="74" xfId="0" quotePrefix="1" applyFont="1" applyBorder="1" applyAlignment="1">
      <alignment horizontal="center" vertical="center"/>
    </xf>
    <xf numFmtId="0" fontId="4" fillId="0" borderId="84" xfId="0" applyFont="1" applyBorder="1" applyAlignment="1">
      <alignment horizontal="center" vertical="center"/>
    </xf>
    <xf numFmtId="0" fontId="4" fillId="0" borderId="104" xfId="0" applyFont="1" applyBorder="1" applyAlignment="1">
      <alignment horizontal="center" vertical="center"/>
    </xf>
    <xf numFmtId="0" fontId="4" fillId="0" borderId="150" xfId="0" applyFont="1" applyBorder="1" applyAlignment="1">
      <alignment horizontal="center" vertical="center"/>
    </xf>
    <xf numFmtId="165" fontId="2" fillId="0" borderId="104" xfId="0" quotePrefix="1" applyNumberFormat="1" applyFont="1" applyBorder="1" applyAlignment="1">
      <alignment horizontal="center" vertical="center"/>
    </xf>
    <xf numFmtId="0" fontId="4" fillId="25" borderId="28" xfId="0" quotePrefix="1" applyFont="1" applyFill="1" applyBorder="1" applyAlignment="1" applyProtection="1">
      <alignment horizontal="center" vertical="center"/>
      <protection locked="0" hidden="1"/>
    </xf>
    <xf numFmtId="1" fontId="4" fillId="25" borderId="28" xfId="0" quotePrefix="1" applyNumberFormat="1" applyFont="1" applyFill="1" applyBorder="1" applyAlignment="1" applyProtection="1">
      <alignment horizontal="center"/>
      <protection hidden="1"/>
    </xf>
    <xf numFmtId="165" fontId="5" fillId="25" borderId="37" xfId="0" applyNumberFormat="1" applyFont="1" applyFill="1" applyBorder="1" applyAlignment="1">
      <alignment horizontal="center" vertical="center"/>
    </xf>
    <xf numFmtId="165" fontId="5" fillId="25" borderId="28" xfId="0" applyNumberFormat="1" applyFont="1" applyFill="1" applyBorder="1" applyAlignment="1">
      <alignment horizontal="center" vertical="center"/>
    </xf>
    <xf numFmtId="165" fontId="5" fillId="25" borderId="35" xfId="0" applyNumberFormat="1" applyFont="1" applyFill="1" applyBorder="1" applyAlignment="1">
      <alignment horizontal="center" vertical="center"/>
    </xf>
    <xf numFmtId="165" fontId="5" fillId="25" borderId="147" xfId="0" applyNumberFormat="1" applyFont="1" applyFill="1" applyBorder="1" applyAlignment="1">
      <alignment horizontal="center" vertical="center"/>
    </xf>
    <xf numFmtId="0" fontId="4" fillId="25" borderId="37" xfId="0" quotePrefix="1" applyFont="1" applyFill="1" applyBorder="1" applyAlignment="1">
      <alignment horizontal="center" vertical="center"/>
    </xf>
    <xf numFmtId="0" fontId="4" fillId="25" borderId="28" xfId="0" quotePrefix="1" applyFont="1" applyFill="1" applyBorder="1" applyAlignment="1">
      <alignment horizontal="center" vertical="center"/>
    </xf>
    <xf numFmtId="0" fontId="4" fillId="25" borderId="38" xfId="0" applyFont="1" applyFill="1" applyBorder="1" applyAlignment="1">
      <alignment horizontal="center" vertical="center"/>
    </xf>
    <xf numFmtId="0" fontId="4" fillId="25" borderId="22" xfId="0" applyFont="1" applyFill="1" applyBorder="1" applyAlignment="1">
      <alignment horizontal="center" vertical="center"/>
    </xf>
    <xf numFmtId="0" fontId="4" fillId="25" borderId="51" xfId="0" quotePrefix="1" applyFont="1" applyFill="1" applyBorder="1" applyAlignment="1">
      <alignment horizontal="center" vertical="center"/>
    </xf>
    <xf numFmtId="0" fontId="4" fillId="25" borderId="21" xfId="0" quotePrefix="1" applyFont="1" applyFill="1" applyBorder="1" applyAlignment="1">
      <alignment horizontal="center" vertical="center"/>
    </xf>
    <xf numFmtId="0" fontId="4" fillId="25" borderId="46" xfId="0" quotePrefix="1" applyFont="1" applyFill="1" applyBorder="1" applyAlignment="1">
      <alignment horizontal="center" vertical="center"/>
    </xf>
    <xf numFmtId="0" fontId="4" fillId="25" borderId="23" xfId="0" quotePrefix="1" applyFont="1" applyFill="1" applyBorder="1" applyAlignment="1">
      <alignment horizontal="center" vertical="center"/>
    </xf>
    <xf numFmtId="0" fontId="4" fillId="25" borderId="111" xfId="0" quotePrefix="1" applyFont="1" applyFill="1" applyBorder="1" applyAlignment="1">
      <alignment horizontal="center" vertical="center"/>
    </xf>
    <xf numFmtId="0" fontId="4" fillId="25" borderId="101" xfId="0" quotePrefix="1" applyFont="1" applyFill="1" applyBorder="1" applyAlignment="1">
      <alignment horizontal="center" vertical="center"/>
    </xf>
    <xf numFmtId="0" fontId="4" fillId="25" borderId="91" xfId="0" quotePrefix="1" applyFont="1" applyFill="1" applyBorder="1" applyAlignment="1">
      <alignment horizontal="center" vertical="center"/>
    </xf>
    <xf numFmtId="0" fontId="4" fillId="25" borderId="67" xfId="0" quotePrefix="1" applyFont="1" applyFill="1" applyBorder="1" applyAlignment="1">
      <alignment horizontal="center" vertical="center"/>
    </xf>
    <xf numFmtId="0" fontId="4" fillId="25" borderId="30" xfId="0" applyFont="1" applyFill="1" applyBorder="1" applyAlignment="1">
      <alignment horizontal="center" vertical="center"/>
    </xf>
    <xf numFmtId="0" fontId="4" fillId="25" borderId="147" xfId="0" applyFont="1" applyFill="1" applyBorder="1" applyAlignment="1">
      <alignment horizontal="center" vertical="center"/>
    </xf>
    <xf numFmtId="0" fontId="4" fillId="25" borderId="28" xfId="0" applyFont="1" applyFill="1" applyBorder="1" applyAlignment="1">
      <alignment horizontal="center"/>
    </xf>
    <xf numFmtId="0" fontId="4" fillId="25" borderId="26" xfId="0" applyFont="1" applyFill="1" applyBorder="1" applyAlignment="1">
      <alignment horizontal="center"/>
    </xf>
    <xf numFmtId="0" fontId="4" fillId="25" borderId="55" xfId="0" applyFont="1" applyFill="1" applyBorder="1" applyAlignment="1">
      <alignment horizontal="center"/>
    </xf>
    <xf numFmtId="0" fontId="4" fillId="25" borderId="39" xfId="0" applyFont="1" applyFill="1" applyBorder="1" applyAlignment="1">
      <alignment horizontal="center"/>
    </xf>
    <xf numFmtId="0" fontId="4" fillId="25" borderId="147" xfId="0" applyFont="1" applyFill="1" applyBorder="1" applyAlignment="1">
      <alignment horizontal="center"/>
    </xf>
    <xf numFmtId="0" fontId="4" fillId="25" borderId="62" xfId="0" applyFont="1" applyFill="1" applyBorder="1" applyAlignment="1">
      <alignment horizontal="center" vertical="center"/>
    </xf>
    <xf numFmtId="0" fontId="4" fillId="25" borderId="49" xfId="0" applyFont="1" applyFill="1" applyBorder="1" applyAlignment="1">
      <alignment horizontal="center" vertical="center"/>
    </xf>
    <xf numFmtId="0" fontId="4" fillId="25" borderId="33" xfId="0" applyFont="1" applyFill="1" applyBorder="1" applyAlignment="1">
      <alignment horizontal="center" vertical="center"/>
    </xf>
    <xf numFmtId="0" fontId="4" fillId="25" borderId="35" xfId="0" applyFont="1" applyFill="1" applyBorder="1" applyAlignment="1">
      <alignment horizontal="center" vertical="center"/>
    </xf>
    <xf numFmtId="0" fontId="4" fillId="25" borderId="76" xfId="0" applyFont="1" applyFill="1" applyBorder="1" applyAlignment="1">
      <alignment horizontal="center" vertical="center"/>
    </xf>
    <xf numFmtId="0" fontId="4" fillId="25" borderId="141" xfId="0" applyFont="1" applyFill="1" applyBorder="1" applyAlignment="1">
      <alignment horizontal="center" vertical="center"/>
    </xf>
    <xf numFmtId="0" fontId="5" fillId="25" borderId="28" xfId="0" applyFont="1" applyFill="1" applyBorder="1" applyAlignment="1">
      <alignment horizontal="center" vertical="center"/>
    </xf>
    <xf numFmtId="0" fontId="5" fillId="25" borderId="37" xfId="0" applyFont="1" applyFill="1" applyBorder="1" applyAlignment="1">
      <alignment horizontal="center" vertical="center"/>
    </xf>
    <xf numFmtId="0" fontId="5" fillId="25" borderId="35" xfId="0" applyFont="1" applyFill="1" applyBorder="1" applyAlignment="1">
      <alignment horizontal="center" vertical="center"/>
    </xf>
    <xf numFmtId="0" fontId="4" fillId="25" borderId="74" xfId="0" applyFont="1" applyFill="1" applyBorder="1" applyAlignment="1">
      <alignment horizontal="center" vertical="center"/>
    </xf>
    <xf numFmtId="1" fontId="4" fillId="25" borderId="37" xfId="0" applyNumberFormat="1" applyFont="1" applyFill="1" applyBorder="1" applyAlignment="1">
      <alignment horizontal="center" vertical="center"/>
    </xf>
    <xf numFmtId="1" fontId="4" fillId="25" borderId="28" xfId="0" applyNumberFormat="1" applyFont="1" applyFill="1" applyBorder="1" applyAlignment="1">
      <alignment horizontal="center" vertical="center"/>
    </xf>
    <xf numFmtId="0" fontId="4" fillId="25" borderId="27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8" xfId="0" applyFont="1" applyBorder="1" applyAlignment="1" applyProtection="1">
      <alignment horizontal="center" vertical="center"/>
      <protection locked="0" hidden="1"/>
    </xf>
    <xf numFmtId="1" fontId="4" fillId="0" borderId="32" xfId="0" applyNumberFormat="1" applyFont="1" applyBorder="1" applyAlignment="1">
      <alignment horizontal="center" vertical="center"/>
    </xf>
    <xf numFmtId="1" fontId="2" fillId="0" borderId="32" xfId="0" applyNumberFormat="1" applyFont="1" applyBorder="1" applyAlignment="1">
      <alignment horizontal="center" vertical="center"/>
    </xf>
    <xf numFmtId="1" fontId="2" fillId="0" borderId="14" xfId="0" quotePrefix="1" applyNumberFormat="1" applyFont="1" applyBorder="1" applyAlignment="1">
      <alignment horizontal="center" vertical="center"/>
    </xf>
    <xf numFmtId="0" fontId="4" fillId="26" borderId="28" xfId="0" quotePrefix="1" applyFont="1" applyFill="1" applyBorder="1" applyAlignment="1" applyProtection="1">
      <alignment horizontal="center" vertical="center"/>
      <protection locked="0" hidden="1"/>
    </xf>
    <xf numFmtId="1" fontId="4" fillId="26" borderId="28" xfId="0" quotePrefix="1" applyNumberFormat="1" applyFont="1" applyFill="1" applyBorder="1" applyAlignment="1" applyProtection="1">
      <alignment horizontal="center"/>
      <protection hidden="1"/>
    </xf>
    <xf numFmtId="0" fontId="5" fillId="26" borderId="28" xfId="0" applyFont="1" applyFill="1" applyBorder="1" applyAlignment="1">
      <alignment horizontal="center" vertical="center"/>
    </xf>
    <xf numFmtId="0" fontId="4" fillId="26" borderId="35" xfId="0" applyFont="1" applyFill="1" applyBorder="1" applyAlignment="1">
      <alignment horizontal="center" vertical="center"/>
    </xf>
    <xf numFmtId="0" fontId="2" fillId="26" borderId="35" xfId="0" applyFont="1" applyFill="1" applyBorder="1" applyAlignment="1">
      <alignment horizontal="center" vertical="center"/>
    </xf>
    <xf numFmtId="0" fontId="5" fillId="26" borderId="37" xfId="0" applyFont="1" applyFill="1" applyBorder="1" applyAlignment="1">
      <alignment horizontal="center" vertical="center"/>
    </xf>
    <xf numFmtId="0" fontId="5" fillId="26" borderId="35" xfId="0" applyFont="1" applyFill="1" applyBorder="1" applyAlignment="1">
      <alignment horizontal="center" vertical="center"/>
    </xf>
    <xf numFmtId="165" fontId="5" fillId="26" borderId="37" xfId="0" applyNumberFormat="1" applyFont="1" applyFill="1" applyBorder="1" applyAlignment="1">
      <alignment horizontal="center" vertical="center"/>
    </xf>
    <xf numFmtId="165" fontId="5" fillId="26" borderId="28" xfId="0" applyNumberFormat="1" applyFont="1" applyFill="1" applyBorder="1" applyAlignment="1">
      <alignment horizontal="center" vertical="center"/>
    </xf>
    <xf numFmtId="0" fontId="4" fillId="26" borderId="62" xfId="0" applyFont="1" applyFill="1" applyBorder="1" applyAlignment="1">
      <alignment horizontal="center" vertical="center"/>
    </xf>
    <xf numFmtId="0" fontId="4" fillId="26" borderId="49" xfId="0" applyFont="1" applyFill="1" applyBorder="1" applyAlignment="1">
      <alignment horizontal="center" vertical="center"/>
    </xf>
    <xf numFmtId="0" fontId="2" fillId="26" borderId="76" xfId="0" applyFont="1" applyFill="1" applyBorder="1" applyAlignment="1">
      <alignment horizontal="center" vertical="center"/>
    </xf>
    <xf numFmtId="1" fontId="4" fillId="26" borderId="37" xfId="0" applyNumberFormat="1" applyFont="1" applyFill="1" applyBorder="1" applyAlignment="1">
      <alignment horizontal="center" vertical="center"/>
    </xf>
    <xf numFmtId="1" fontId="4" fillId="26" borderId="28" xfId="0" applyNumberFormat="1" applyFont="1" applyFill="1" applyBorder="1" applyAlignment="1">
      <alignment horizontal="center" vertical="center"/>
    </xf>
    <xf numFmtId="0" fontId="2" fillId="0" borderId="54" xfId="0" applyFont="1" applyBorder="1" applyAlignment="1">
      <alignment horizontal="center" vertical="center" wrapText="1"/>
    </xf>
    <xf numFmtId="0" fontId="2" fillId="26" borderId="74" xfId="0" applyFont="1" applyFill="1" applyBorder="1" applyAlignment="1">
      <alignment horizontal="center" vertical="center"/>
    </xf>
    <xf numFmtId="1" fontId="2" fillId="0" borderId="94" xfId="0" applyNumberFormat="1" applyFont="1" applyBorder="1" applyAlignment="1">
      <alignment horizontal="center" vertical="center"/>
    </xf>
    <xf numFmtId="165" fontId="2" fillId="0" borderId="90" xfId="0" applyNumberFormat="1" applyFont="1" applyBorder="1" applyAlignment="1">
      <alignment horizontal="center" vertical="center"/>
    </xf>
    <xf numFmtId="1" fontId="2" fillId="0" borderId="92" xfId="0" applyNumberFormat="1" applyFont="1" applyBorder="1" applyAlignment="1" applyProtection="1">
      <alignment horizontal="center" vertical="center"/>
      <protection hidden="1"/>
    </xf>
    <xf numFmtId="1" fontId="2" fillId="0" borderId="90" xfId="0" applyNumberFormat="1" applyFont="1" applyBorder="1" applyAlignment="1">
      <alignment horizontal="center" vertical="center"/>
    </xf>
    <xf numFmtId="1" fontId="2" fillId="0" borderId="92" xfId="0" applyNumberFormat="1" applyFont="1" applyBorder="1" applyAlignment="1">
      <alignment horizontal="center" vertical="center"/>
    </xf>
    <xf numFmtId="1" fontId="2" fillId="0" borderId="90" xfId="0" quotePrefix="1" applyNumberFormat="1" applyFont="1" applyBorder="1" applyAlignment="1">
      <alignment horizontal="center" vertical="center"/>
    </xf>
    <xf numFmtId="165" fontId="2" fillId="0" borderId="92" xfId="0" applyNumberFormat="1" applyFont="1" applyBorder="1" applyAlignment="1">
      <alignment horizontal="center" vertical="center"/>
    </xf>
    <xf numFmtId="165" fontId="2" fillId="0" borderId="126" xfId="0" applyNumberFormat="1" applyFont="1" applyBorder="1" applyAlignment="1">
      <alignment horizontal="center" vertical="center"/>
    </xf>
    <xf numFmtId="0" fontId="2" fillId="26" borderId="141" xfId="0" applyFont="1" applyFill="1" applyBorder="1" applyAlignment="1">
      <alignment horizontal="center" vertical="center"/>
    </xf>
    <xf numFmtId="1" fontId="2" fillId="0" borderId="71" xfId="0" applyNumberFormat="1" applyFont="1" applyBorder="1" applyAlignment="1">
      <alignment horizontal="center" vertical="center"/>
    </xf>
    <xf numFmtId="1" fontId="2" fillId="0" borderId="126" xfId="0" applyNumberFormat="1" applyFont="1" applyBorder="1" applyAlignment="1">
      <alignment horizontal="center" vertical="center"/>
    </xf>
    <xf numFmtId="165" fontId="2" fillId="0" borderId="94" xfId="0" applyNumberFormat="1" applyFont="1" applyBorder="1" applyAlignment="1">
      <alignment horizontal="center" vertical="center"/>
    </xf>
    <xf numFmtId="0" fontId="2" fillId="0" borderId="54" xfId="0" quotePrefix="1" applyFont="1" applyBorder="1" applyAlignment="1">
      <alignment horizontal="center" vertical="center"/>
    </xf>
    <xf numFmtId="0" fontId="2" fillId="0" borderId="94" xfId="0" quotePrefix="1" applyFont="1" applyBorder="1" applyAlignment="1">
      <alignment horizontal="center" vertical="center"/>
    </xf>
    <xf numFmtId="0" fontId="2" fillId="0" borderId="90" xfId="0" applyFont="1" applyBorder="1" applyAlignment="1">
      <alignment horizontal="center" vertical="center"/>
    </xf>
    <xf numFmtId="0" fontId="2" fillId="0" borderId="142" xfId="0" applyFont="1" applyBorder="1" applyAlignment="1">
      <alignment horizontal="center" vertical="center"/>
    </xf>
    <xf numFmtId="165" fontId="5" fillId="26" borderId="35" xfId="0" applyNumberFormat="1" applyFont="1" applyFill="1" applyBorder="1" applyAlignment="1">
      <alignment horizontal="center" vertical="center"/>
    </xf>
    <xf numFmtId="165" fontId="2" fillId="26" borderId="35" xfId="0" applyNumberFormat="1" applyFont="1" applyFill="1" applyBorder="1" applyAlignment="1">
      <alignment horizontal="center" vertical="center"/>
    </xf>
    <xf numFmtId="165" fontId="50" fillId="26" borderId="35" xfId="0" applyNumberFormat="1" applyFont="1" applyFill="1" applyBorder="1" applyAlignment="1">
      <alignment horizontal="center" vertical="center"/>
    </xf>
    <xf numFmtId="165" fontId="50" fillId="26" borderId="74" xfId="0" applyNumberFormat="1" applyFont="1" applyFill="1" applyBorder="1" applyAlignment="1">
      <alignment horizontal="center" vertical="center"/>
    </xf>
    <xf numFmtId="0" fontId="4" fillId="26" borderId="50" xfId="0" applyFont="1" applyFill="1" applyBorder="1"/>
    <xf numFmtId="0" fontId="4" fillId="26" borderId="50" xfId="0" applyFont="1" applyFill="1" applyBorder="1" applyAlignment="1">
      <alignment horizontal="center"/>
    </xf>
    <xf numFmtId="0" fontId="4" fillId="26" borderId="28" xfId="0" applyFont="1" applyFill="1" applyBorder="1" applyAlignment="1">
      <alignment horizontal="center"/>
    </xf>
    <xf numFmtId="0" fontId="4" fillId="26" borderId="35" xfId="0" applyFont="1" applyFill="1" applyBorder="1" applyAlignment="1">
      <alignment horizontal="center"/>
    </xf>
    <xf numFmtId="0" fontId="2" fillId="26" borderId="35" xfId="0" applyFont="1" applyFill="1" applyBorder="1" applyAlignment="1">
      <alignment horizontal="center"/>
    </xf>
    <xf numFmtId="0" fontId="2" fillId="26" borderId="0" xfId="0" applyFont="1" applyFill="1" applyAlignment="1">
      <alignment horizontal="center"/>
    </xf>
    <xf numFmtId="0" fontId="2" fillId="26" borderId="147" xfId="0" applyFont="1" applyFill="1" applyBorder="1" applyAlignment="1">
      <alignment horizontal="center"/>
    </xf>
    <xf numFmtId="0" fontId="4" fillId="26" borderId="37" xfId="0" quotePrefix="1" applyFont="1" applyFill="1" applyBorder="1" applyAlignment="1">
      <alignment horizontal="center" vertical="center"/>
    </xf>
    <xf numFmtId="0" fontId="4" fillId="26" borderId="28" xfId="0" quotePrefix="1" applyFont="1" applyFill="1" applyBorder="1" applyAlignment="1">
      <alignment horizontal="center" vertical="center"/>
    </xf>
    <xf numFmtId="0" fontId="4" fillId="26" borderId="38" xfId="0" applyFont="1" applyFill="1" applyBorder="1" applyAlignment="1">
      <alignment horizontal="center" vertical="center"/>
    </xf>
    <xf numFmtId="0" fontId="4" fillId="26" borderId="22" xfId="0" applyFont="1" applyFill="1" applyBorder="1" applyAlignment="1">
      <alignment horizontal="center" vertical="center"/>
    </xf>
    <xf numFmtId="0" fontId="4" fillId="26" borderId="51" xfId="0" quotePrefix="1" applyFont="1" applyFill="1" applyBorder="1" applyAlignment="1">
      <alignment horizontal="center" vertical="center"/>
    </xf>
    <xf numFmtId="0" fontId="4" fillId="26" borderId="21" xfId="0" quotePrefix="1" applyFont="1" applyFill="1" applyBorder="1" applyAlignment="1">
      <alignment horizontal="center" vertical="center"/>
    </xf>
    <xf numFmtId="0" fontId="4" fillId="26" borderId="46" xfId="0" quotePrefix="1" applyFont="1" applyFill="1" applyBorder="1" applyAlignment="1">
      <alignment horizontal="center" vertical="center"/>
    </xf>
    <xf numFmtId="0" fontId="4" fillId="26" borderId="23" xfId="0" quotePrefix="1" applyFont="1" applyFill="1" applyBorder="1" applyAlignment="1">
      <alignment horizontal="center" vertical="center"/>
    </xf>
    <xf numFmtId="0" fontId="4" fillId="26" borderId="38" xfId="0" quotePrefix="1" applyFont="1" applyFill="1" applyBorder="1" applyAlignment="1">
      <alignment horizontal="center" vertical="center"/>
    </xf>
    <xf numFmtId="0" fontId="4" fillId="26" borderId="22" xfId="0" quotePrefix="1" applyFont="1" applyFill="1" applyBorder="1" applyAlignment="1">
      <alignment horizontal="center" vertical="center"/>
    </xf>
    <xf numFmtId="0" fontId="4" fillId="26" borderId="35" xfId="0" quotePrefix="1" applyFont="1" applyFill="1" applyBorder="1" applyAlignment="1">
      <alignment horizontal="center" vertical="center"/>
    </xf>
    <xf numFmtId="0" fontId="2" fillId="26" borderId="35" xfId="0" quotePrefix="1" applyFont="1" applyFill="1" applyBorder="1" applyAlignment="1">
      <alignment horizontal="center" vertical="center"/>
    </xf>
    <xf numFmtId="0" fontId="2" fillId="26" borderId="30" xfId="0" quotePrefix="1" applyFont="1" applyFill="1" applyBorder="1" applyAlignment="1">
      <alignment horizontal="center" vertical="center"/>
    </xf>
    <xf numFmtId="0" fontId="2" fillId="26" borderId="0" xfId="0" applyFont="1" applyFill="1" applyAlignment="1">
      <alignment horizontal="center" vertical="center"/>
    </xf>
    <xf numFmtId="0" fontId="2" fillId="26" borderId="147" xfId="0" applyFont="1" applyFill="1" applyBorder="1" applyAlignment="1">
      <alignment horizontal="center" vertical="center"/>
    </xf>
    <xf numFmtId="165" fontId="2" fillId="0" borderId="93" xfId="0" applyNumberFormat="1" applyFont="1" applyBorder="1" applyAlignment="1">
      <alignment horizontal="center" vertical="center"/>
    </xf>
    <xf numFmtId="0" fontId="2" fillId="0" borderId="93" xfId="0" quotePrefix="1" applyFont="1" applyBorder="1" applyAlignment="1">
      <alignment horizontal="center" vertical="center"/>
    </xf>
    <xf numFmtId="0" fontId="2" fillId="0" borderId="103" xfId="0" applyFont="1" applyBorder="1" applyAlignment="1">
      <alignment horizontal="center" vertical="center"/>
    </xf>
    <xf numFmtId="0" fontId="2" fillId="0" borderId="9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textRotation="90"/>
    </xf>
    <xf numFmtId="165" fontId="2" fillId="0" borderId="126" xfId="0" quotePrefix="1" applyNumberFormat="1" applyFont="1" applyBorder="1" applyAlignment="1">
      <alignment horizontal="center" vertical="center"/>
    </xf>
    <xf numFmtId="0" fontId="2" fillId="0" borderId="94" xfId="0" applyFont="1" applyBorder="1" applyAlignment="1">
      <alignment horizontal="center" vertical="center"/>
    </xf>
    <xf numFmtId="1" fontId="2" fillId="0" borderId="93" xfId="0" applyNumberFormat="1" applyFont="1" applyBorder="1" applyAlignment="1">
      <alignment horizontal="center" vertical="center"/>
    </xf>
    <xf numFmtId="165" fontId="2" fillId="0" borderId="89" xfId="0" applyNumberFormat="1" applyFont="1" applyBorder="1" applyAlignment="1">
      <alignment horizontal="center" vertical="center"/>
    </xf>
    <xf numFmtId="1" fontId="2" fillId="0" borderId="91" xfId="0" applyNumberFormat="1" applyFont="1" applyBorder="1" applyAlignment="1" applyProtection="1">
      <alignment horizontal="center" vertical="center"/>
      <protection hidden="1"/>
    </xf>
    <xf numFmtId="1" fontId="2" fillId="0" borderId="89" xfId="0" applyNumberFormat="1" applyFont="1" applyBorder="1" applyAlignment="1">
      <alignment horizontal="center" vertical="center"/>
    </xf>
    <xf numFmtId="1" fontId="2" fillId="0" borderId="85" xfId="0" applyNumberFormat="1" applyFont="1" applyBorder="1" applyAlignment="1">
      <alignment horizontal="center" vertical="center"/>
    </xf>
    <xf numFmtId="1" fontId="2" fillId="0" borderId="91" xfId="0" applyNumberFormat="1" applyFont="1" applyBorder="1" applyAlignment="1">
      <alignment horizontal="center" vertical="center"/>
    </xf>
    <xf numFmtId="1" fontId="2" fillId="0" borderId="89" xfId="0" quotePrefix="1" applyNumberFormat="1" applyFont="1" applyBorder="1" applyAlignment="1">
      <alignment horizontal="center" vertical="center"/>
    </xf>
    <xf numFmtId="165" fontId="2" fillId="0" borderId="26" xfId="0" applyNumberFormat="1" applyFont="1" applyBorder="1" applyAlignment="1">
      <alignment horizontal="center" vertical="center"/>
    </xf>
    <xf numFmtId="165" fontId="2" fillId="0" borderId="70" xfId="0" applyNumberFormat="1" applyFont="1" applyBorder="1" applyAlignment="1">
      <alignment horizontal="center" vertical="center"/>
    </xf>
    <xf numFmtId="1" fontId="2" fillId="0" borderId="109" xfId="0" applyNumberFormat="1" applyFont="1" applyBorder="1" applyAlignment="1">
      <alignment horizontal="center" vertical="center"/>
    </xf>
    <xf numFmtId="0" fontId="2" fillId="26" borderId="0" xfId="0" quotePrefix="1" applyFont="1" applyFill="1" applyAlignment="1">
      <alignment horizontal="center" vertical="center"/>
    </xf>
    <xf numFmtId="0" fontId="2" fillId="26" borderId="85" xfId="0" applyFont="1" applyFill="1" applyBorder="1" applyAlignment="1">
      <alignment horizontal="center" vertical="center"/>
    </xf>
    <xf numFmtId="165" fontId="2" fillId="26" borderId="74" xfId="0" applyNumberFormat="1" applyFont="1" applyFill="1" applyBorder="1" applyAlignment="1">
      <alignment horizontal="center" vertical="center"/>
    </xf>
    <xf numFmtId="1" fontId="4" fillId="26" borderId="28" xfId="0" quotePrefix="1" applyNumberFormat="1" applyFont="1" applyFill="1" applyBorder="1" applyAlignment="1" applyProtection="1">
      <alignment horizontal="center" vertical="center"/>
      <protection hidden="1"/>
    </xf>
    <xf numFmtId="0" fontId="4" fillId="26" borderId="50" xfId="0" applyFont="1" applyFill="1" applyBorder="1" applyAlignment="1">
      <alignment vertical="center"/>
    </xf>
    <xf numFmtId="0" fontId="4" fillId="26" borderId="50" xfId="0" applyFont="1" applyFill="1" applyBorder="1" applyAlignment="1">
      <alignment horizontal="center" vertical="center"/>
    </xf>
    <xf numFmtId="0" fontId="4" fillId="26" borderId="28" xfId="0" applyFont="1" applyFill="1" applyBorder="1" applyAlignment="1">
      <alignment horizontal="center" vertical="center"/>
    </xf>
    <xf numFmtId="164" fontId="4" fillId="0" borderId="74" xfId="0" applyNumberFormat="1" applyFont="1" applyBorder="1" applyAlignment="1" applyProtection="1">
      <alignment horizontal="center" vertical="center"/>
      <protection hidden="1"/>
    </xf>
    <xf numFmtId="165" fontId="4" fillId="0" borderId="84" xfId="0" applyNumberFormat="1" applyFont="1" applyBorder="1" applyAlignment="1">
      <alignment horizontal="center" vertical="center"/>
    </xf>
    <xf numFmtId="0" fontId="4" fillId="0" borderId="84" xfId="0" quotePrefix="1" applyFont="1" applyBorder="1" applyAlignment="1">
      <alignment horizontal="center" vertical="center"/>
    </xf>
    <xf numFmtId="1" fontId="4" fillId="0" borderId="60" xfId="0" applyNumberFormat="1" applyFont="1" applyBorder="1" applyAlignment="1">
      <alignment horizontal="center" vertical="center"/>
    </xf>
    <xf numFmtId="165" fontId="4" fillId="0" borderId="29" xfId="0" applyNumberFormat="1" applyFont="1" applyBorder="1" applyAlignment="1">
      <alignment horizontal="center" vertical="center"/>
    </xf>
    <xf numFmtId="1" fontId="4" fillId="0" borderId="77" xfId="0" applyNumberFormat="1" applyFont="1" applyBorder="1" applyAlignment="1">
      <alignment horizontal="center" vertical="center"/>
    </xf>
    <xf numFmtId="1" fontId="4" fillId="0" borderId="29" xfId="0" applyNumberFormat="1" applyFont="1" applyBorder="1" applyAlignment="1">
      <alignment horizontal="center" vertical="center"/>
    </xf>
    <xf numFmtId="1" fontId="4" fillId="0" borderId="30" xfId="0" applyNumberFormat="1" applyFont="1" applyBorder="1" applyAlignment="1">
      <alignment horizontal="center" vertical="center"/>
    </xf>
    <xf numFmtId="1" fontId="4" fillId="0" borderId="29" xfId="0" quotePrefix="1" applyNumberFormat="1" applyFont="1" applyBorder="1" applyAlignment="1">
      <alignment horizontal="center" vertical="center"/>
    </xf>
    <xf numFmtId="1" fontId="4" fillId="0" borderId="104" xfId="0" quotePrefix="1" applyNumberFormat="1" applyFont="1" applyBorder="1" applyAlignment="1">
      <alignment horizontal="center" vertical="center"/>
    </xf>
    <xf numFmtId="165" fontId="4" fillId="0" borderId="30" xfId="0" applyNumberFormat="1" applyFont="1" applyBorder="1" applyAlignment="1">
      <alignment horizontal="center" vertical="center"/>
    </xf>
    <xf numFmtId="1" fontId="4" fillId="0" borderId="67" xfId="0" applyNumberFormat="1" applyFont="1" applyBorder="1" applyAlignment="1">
      <alignment horizontal="center" vertical="center"/>
    </xf>
    <xf numFmtId="1" fontId="4" fillId="0" borderId="149" xfId="0" applyNumberFormat="1" applyFont="1" applyBorder="1" applyAlignment="1">
      <alignment horizontal="center" vertical="center"/>
    </xf>
    <xf numFmtId="165" fontId="4" fillId="0" borderId="56" xfId="0" applyNumberFormat="1" applyFont="1" applyBorder="1" applyAlignment="1">
      <alignment horizontal="center" vertical="center"/>
    </xf>
    <xf numFmtId="165" fontId="2" fillId="0" borderId="18" xfId="0" applyNumberFormat="1" applyFont="1" applyBorder="1" applyAlignment="1">
      <alignment horizontal="center" vertical="center"/>
    </xf>
    <xf numFmtId="165" fontId="2" fillId="0" borderId="82" xfId="0" applyNumberFormat="1" applyFont="1" applyBorder="1" applyAlignment="1">
      <alignment horizontal="center" vertical="center"/>
    </xf>
    <xf numFmtId="0" fontId="4" fillId="25" borderId="35" xfId="0" quotePrefix="1" applyFont="1" applyFill="1" applyBorder="1" applyAlignment="1">
      <alignment horizontal="center" vertical="center"/>
    </xf>
    <xf numFmtId="0" fontId="4" fillId="25" borderId="30" xfId="0" quotePrefix="1" applyFont="1" applyFill="1" applyBorder="1" applyAlignment="1">
      <alignment horizontal="center" vertical="center"/>
    </xf>
    <xf numFmtId="0" fontId="4" fillId="25" borderId="72" xfId="0" quotePrefix="1" applyFont="1" applyFill="1" applyBorder="1" applyAlignment="1">
      <alignment horizontal="center" vertical="center"/>
    </xf>
    <xf numFmtId="0" fontId="4" fillId="25" borderId="85" xfId="0" quotePrefix="1" applyFont="1" applyFill="1" applyBorder="1" applyAlignment="1">
      <alignment horizontal="center" vertical="center"/>
    </xf>
    <xf numFmtId="0" fontId="4" fillId="25" borderId="50" xfId="0" applyFont="1" applyFill="1" applyBorder="1" applyAlignment="1">
      <alignment vertical="center"/>
    </xf>
    <xf numFmtId="0" fontId="4" fillId="25" borderId="28" xfId="0" applyFont="1" applyFill="1" applyBorder="1" applyAlignment="1">
      <alignment horizontal="center" vertical="center"/>
    </xf>
    <xf numFmtId="0" fontId="4" fillId="25" borderId="37" xfId="0" applyFont="1" applyFill="1" applyBorder="1" applyAlignment="1">
      <alignment horizontal="center" vertical="center"/>
    </xf>
    <xf numFmtId="0" fontId="4" fillId="25" borderId="37" xfId="0" applyFont="1" applyFill="1" applyBorder="1" applyAlignment="1">
      <alignment horizontal="center"/>
    </xf>
    <xf numFmtId="0" fontId="4" fillId="25" borderId="36" xfId="0" applyFont="1" applyFill="1" applyBorder="1" applyAlignment="1">
      <alignment horizontal="center" vertical="center"/>
    </xf>
    <xf numFmtId="0" fontId="4" fillId="25" borderId="0" xfId="0" applyFont="1" applyFill="1" applyAlignment="1">
      <alignment horizontal="center" vertical="center"/>
    </xf>
    <xf numFmtId="0" fontId="2" fillId="25" borderId="35" xfId="0" applyFont="1" applyFill="1" applyBorder="1" applyAlignment="1">
      <alignment horizontal="center" vertical="center"/>
    </xf>
    <xf numFmtId="0" fontId="4" fillId="25" borderId="7" xfId="0" applyFont="1" applyFill="1" applyBorder="1" applyAlignment="1">
      <alignment horizontal="center" vertical="center"/>
    </xf>
    <xf numFmtId="165" fontId="5" fillId="25" borderId="36" xfId="0" applyNumberFormat="1" applyFont="1" applyFill="1" applyBorder="1" applyAlignment="1">
      <alignment horizontal="center" vertical="center"/>
    </xf>
    <xf numFmtId="165" fontId="5" fillId="25" borderId="0" xfId="0" applyNumberFormat="1" applyFont="1" applyFill="1" applyAlignment="1">
      <alignment horizontal="center" vertical="center"/>
    </xf>
    <xf numFmtId="0" fontId="5" fillId="25" borderId="74" xfId="0" applyFont="1" applyFill="1" applyBorder="1" applyAlignment="1">
      <alignment horizontal="center" vertical="center"/>
    </xf>
    <xf numFmtId="1" fontId="4" fillId="25" borderId="28" xfId="0" quotePrefix="1" applyNumberFormat="1" applyFont="1" applyFill="1" applyBorder="1" applyAlignment="1" applyProtection="1">
      <alignment horizontal="center" vertical="center"/>
      <protection hidden="1"/>
    </xf>
    <xf numFmtId="165" fontId="2" fillId="0" borderId="90" xfId="0" quotePrefix="1" applyNumberFormat="1" applyFont="1" applyBorder="1" applyAlignment="1">
      <alignment horizontal="center" vertical="center"/>
    </xf>
    <xf numFmtId="0" fontId="2" fillId="0" borderId="94" xfId="0" quotePrefix="1" applyFont="1" applyBorder="1" applyAlignment="1">
      <alignment horizontal="center"/>
    </xf>
    <xf numFmtId="0" fontId="2" fillId="0" borderId="90" xfId="0" applyFont="1" applyBorder="1" applyAlignment="1">
      <alignment horizontal="center"/>
    </xf>
    <xf numFmtId="0" fontId="2" fillId="0" borderId="142" xfId="0" applyFont="1" applyBorder="1" applyAlignment="1">
      <alignment horizontal="center"/>
    </xf>
    <xf numFmtId="1" fontId="2" fillId="0" borderId="60" xfId="0" applyNumberFormat="1" applyFont="1" applyBorder="1" applyAlignment="1">
      <alignment horizontal="center" vertical="center"/>
    </xf>
    <xf numFmtId="165" fontId="2" fillId="0" borderId="29" xfId="0" applyNumberFormat="1" applyFont="1" applyBorder="1" applyAlignment="1">
      <alignment horizontal="center" vertical="center"/>
    </xf>
    <xf numFmtId="1" fontId="2" fillId="0" borderId="30" xfId="0" applyNumberFormat="1" applyFont="1" applyBorder="1" applyAlignment="1" applyProtection="1">
      <alignment horizontal="center" vertical="center"/>
      <protection hidden="1"/>
    </xf>
    <xf numFmtId="1" fontId="2" fillId="0" borderId="29" xfId="0" applyNumberFormat="1" applyFont="1" applyBorder="1" applyAlignment="1">
      <alignment horizontal="center" vertical="center"/>
    </xf>
    <xf numFmtId="1" fontId="2" fillId="0" borderId="0" xfId="0" quotePrefix="1" applyNumberFormat="1" applyFont="1" applyAlignment="1">
      <alignment horizontal="center" vertical="center"/>
    </xf>
    <xf numFmtId="1" fontId="2" fillId="0" borderId="30" xfId="0" applyNumberFormat="1" applyFont="1" applyBorder="1" applyAlignment="1">
      <alignment horizontal="center" vertical="center"/>
    </xf>
    <xf numFmtId="165" fontId="2" fillId="0" borderId="30" xfId="0" quotePrefix="1" applyNumberFormat="1" applyFont="1" applyBorder="1" applyAlignment="1">
      <alignment horizontal="center" vertical="center"/>
    </xf>
    <xf numFmtId="1" fontId="2" fillId="0" borderId="67" xfId="0" applyNumberFormat="1" applyFont="1" applyBorder="1" applyAlignment="1">
      <alignment horizontal="center" vertical="center"/>
    </xf>
    <xf numFmtId="165" fontId="2" fillId="0" borderId="67" xfId="0" applyNumberFormat="1" applyFont="1" applyBorder="1" applyAlignment="1">
      <alignment horizontal="center" vertical="center"/>
    </xf>
    <xf numFmtId="0" fontId="2" fillId="25" borderId="28" xfId="0" quotePrefix="1" applyFont="1" applyFill="1" applyBorder="1" applyAlignment="1" applyProtection="1">
      <alignment horizontal="center" vertical="center"/>
      <protection locked="0" hidden="1"/>
    </xf>
    <xf numFmtId="1" fontId="2" fillId="25" borderId="28" xfId="0" quotePrefix="1" applyNumberFormat="1" applyFont="1" applyFill="1" applyBorder="1" applyAlignment="1" applyProtection="1">
      <alignment horizontal="center" vertical="center"/>
      <protection hidden="1"/>
    </xf>
    <xf numFmtId="0" fontId="2" fillId="25" borderId="74" xfId="0" applyFont="1" applyFill="1" applyBorder="1" applyAlignment="1">
      <alignment horizontal="center" vertical="center"/>
    </xf>
    <xf numFmtId="0" fontId="2" fillId="25" borderId="62" xfId="0" applyFont="1" applyFill="1" applyBorder="1" applyAlignment="1">
      <alignment horizontal="center" vertical="center"/>
    </xf>
    <xf numFmtId="0" fontId="2" fillId="25" borderId="49" xfId="0" applyFont="1" applyFill="1" applyBorder="1" applyAlignment="1">
      <alignment horizontal="center" vertical="center"/>
    </xf>
    <xf numFmtId="0" fontId="2" fillId="25" borderId="76" xfId="0" applyFont="1" applyFill="1" applyBorder="1" applyAlignment="1">
      <alignment horizontal="center" vertical="center"/>
    </xf>
    <xf numFmtId="1" fontId="2" fillId="25" borderId="37" xfId="0" applyNumberFormat="1" applyFont="1" applyFill="1" applyBorder="1" applyAlignment="1">
      <alignment horizontal="center" vertical="center"/>
    </xf>
    <xf numFmtId="1" fontId="2" fillId="25" borderId="28" xfId="0" applyNumberFormat="1" applyFont="1" applyFill="1" applyBorder="1" applyAlignment="1">
      <alignment horizontal="center" vertical="center"/>
    </xf>
    <xf numFmtId="1" fontId="2" fillId="25" borderId="35" xfId="0" applyNumberFormat="1" applyFont="1" applyFill="1" applyBorder="1" applyAlignment="1">
      <alignment horizontal="center" vertical="center"/>
    </xf>
    <xf numFmtId="165" fontId="2" fillId="25" borderId="74" xfId="0" applyNumberFormat="1" applyFont="1" applyFill="1" applyBorder="1" applyAlignment="1">
      <alignment horizontal="center" vertical="center"/>
    </xf>
    <xf numFmtId="0" fontId="2" fillId="25" borderId="50" xfId="0" applyFont="1" applyFill="1" applyBorder="1"/>
    <xf numFmtId="0" fontId="2" fillId="25" borderId="50" xfId="0" applyFont="1" applyFill="1" applyBorder="1" applyAlignment="1">
      <alignment horizontal="center"/>
    </xf>
    <xf numFmtId="0" fontId="2" fillId="25" borderId="20" xfId="0" applyFont="1" applyFill="1" applyBorder="1" applyAlignment="1">
      <alignment horizontal="center"/>
    </xf>
    <xf numFmtId="0" fontId="2" fillId="25" borderId="0" xfId="0" applyFont="1" applyFill="1" applyAlignment="1">
      <alignment horizontal="center"/>
    </xf>
    <xf numFmtId="0" fontId="2" fillId="25" borderId="35" xfId="0" applyFont="1" applyFill="1" applyBorder="1" applyAlignment="1">
      <alignment horizontal="center"/>
    </xf>
    <xf numFmtId="0" fontId="2" fillId="25" borderId="35" xfId="0" quotePrefix="1" applyFont="1" applyFill="1" applyBorder="1" applyAlignment="1">
      <alignment horizontal="center"/>
    </xf>
    <xf numFmtId="0" fontId="2" fillId="25" borderId="74" xfId="0" applyFont="1" applyFill="1" applyBorder="1" applyAlignment="1">
      <alignment horizontal="center"/>
    </xf>
    <xf numFmtId="0" fontId="2" fillId="25" borderId="37" xfId="0" quotePrefix="1" applyFont="1" applyFill="1" applyBorder="1" applyAlignment="1">
      <alignment horizontal="center" vertical="center"/>
    </xf>
    <xf numFmtId="0" fontId="2" fillId="25" borderId="28" xfId="0" quotePrefix="1" applyFont="1" applyFill="1" applyBorder="1" applyAlignment="1">
      <alignment horizontal="center" vertical="center"/>
    </xf>
    <xf numFmtId="0" fontId="2" fillId="25" borderId="38" xfId="0" applyFont="1" applyFill="1" applyBorder="1" applyAlignment="1">
      <alignment horizontal="center"/>
    </xf>
    <xf numFmtId="0" fontId="2" fillId="25" borderId="22" xfId="0" applyFont="1" applyFill="1" applyBorder="1" applyAlignment="1">
      <alignment horizontal="center"/>
    </xf>
    <xf numFmtId="0" fontId="2" fillId="25" borderId="51" xfId="0" quotePrefix="1" applyFont="1" applyFill="1" applyBorder="1" applyAlignment="1">
      <alignment horizontal="center"/>
    </xf>
    <xf numFmtId="0" fontId="2" fillId="25" borderId="21" xfId="0" quotePrefix="1" applyFont="1" applyFill="1" applyBorder="1" applyAlignment="1">
      <alignment horizontal="center"/>
    </xf>
    <xf numFmtId="0" fontId="2" fillId="25" borderId="46" xfId="0" quotePrefix="1" applyFont="1" applyFill="1" applyBorder="1" applyAlignment="1">
      <alignment horizontal="center"/>
    </xf>
    <xf numFmtId="0" fontId="2" fillId="25" borderId="23" xfId="0" quotePrefix="1" applyFont="1" applyFill="1" applyBorder="1" applyAlignment="1">
      <alignment horizontal="center"/>
    </xf>
    <xf numFmtId="0" fontId="2" fillId="25" borderId="38" xfId="0" quotePrefix="1" applyFont="1" applyFill="1" applyBorder="1" applyAlignment="1">
      <alignment horizontal="center"/>
    </xf>
    <xf numFmtId="0" fontId="2" fillId="25" borderId="22" xfId="0" quotePrefix="1" applyFont="1" applyFill="1" applyBorder="1" applyAlignment="1">
      <alignment horizontal="center"/>
    </xf>
    <xf numFmtId="0" fontId="2" fillId="25" borderId="74" xfId="0" quotePrefix="1" applyFont="1" applyFill="1" applyBorder="1" applyAlignment="1">
      <alignment horizontal="center"/>
    </xf>
    <xf numFmtId="165" fontId="2" fillId="0" borderId="46" xfId="0" applyNumberFormat="1" applyFont="1" applyBorder="1" applyProtection="1">
      <protection hidden="1"/>
    </xf>
    <xf numFmtId="0" fontId="4" fillId="25" borderId="28" xfId="0" quotePrefix="1" applyFont="1" applyFill="1" applyBorder="1" applyAlignment="1" applyProtection="1">
      <alignment horizontal="center"/>
      <protection hidden="1"/>
    </xf>
    <xf numFmtId="0" fontId="4" fillId="25" borderId="28" xfId="0" applyFont="1" applyFill="1" applyBorder="1" applyAlignment="1" applyProtection="1">
      <alignment horizontal="left" vertical="center"/>
      <protection hidden="1"/>
    </xf>
    <xf numFmtId="0" fontId="4" fillId="25" borderId="34" xfId="0" quotePrefix="1" applyFont="1" applyFill="1" applyBorder="1" applyAlignment="1" applyProtection="1">
      <alignment horizontal="center"/>
      <protection hidden="1"/>
    </xf>
    <xf numFmtId="0" fontId="4" fillId="25" borderId="22" xfId="1540" quotePrefix="1" applyFill="1" applyBorder="1" applyAlignment="1" applyProtection="1">
      <alignment horizontal="center"/>
      <protection hidden="1"/>
    </xf>
    <xf numFmtId="0" fontId="4" fillId="25" borderId="35" xfId="0" applyFont="1" applyFill="1" applyBorder="1" applyAlignment="1" applyProtection="1">
      <alignment horizontal="left" vertical="center"/>
      <protection hidden="1"/>
    </xf>
    <xf numFmtId="0" fontId="4" fillId="25" borderId="74" xfId="0" applyFont="1" applyFill="1" applyBorder="1" applyAlignment="1" applyProtection="1">
      <alignment horizontal="left" vertical="center"/>
      <protection hidden="1"/>
    </xf>
    <xf numFmtId="0" fontId="4" fillId="25" borderId="37" xfId="0" applyFont="1" applyFill="1" applyBorder="1" applyProtection="1">
      <protection hidden="1"/>
    </xf>
    <xf numFmtId="0" fontId="4" fillId="25" borderId="28" xfId="0" applyFont="1" applyFill="1" applyBorder="1" applyAlignment="1" applyProtection="1">
      <alignment horizontal="center"/>
      <protection hidden="1"/>
    </xf>
    <xf numFmtId="0" fontId="4" fillId="25" borderId="35" xfId="0" applyFont="1" applyFill="1" applyBorder="1" applyAlignment="1" applyProtection="1">
      <alignment horizontal="center"/>
      <protection hidden="1"/>
    </xf>
    <xf numFmtId="0" fontId="4" fillId="25" borderId="74" xfId="0" applyFont="1" applyFill="1" applyBorder="1" applyAlignment="1" applyProtection="1">
      <alignment horizontal="center"/>
      <protection hidden="1"/>
    </xf>
    <xf numFmtId="165" fontId="4" fillId="25" borderId="35" xfId="0" applyNumberFormat="1" applyFont="1" applyFill="1" applyBorder="1" applyAlignment="1" applyProtection="1">
      <alignment horizontal="center"/>
      <protection hidden="1"/>
    </xf>
    <xf numFmtId="165" fontId="4" fillId="25" borderId="74" xfId="0" applyNumberFormat="1" applyFont="1" applyFill="1" applyBorder="1" applyAlignment="1" applyProtection="1">
      <alignment horizontal="center"/>
      <protection hidden="1"/>
    </xf>
    <xf numFmtId="165" fontId="4" fillId="25" borderId="28" xfId="0" applyNumberFormat="1" applyFont="1" applyFill="1" applyBorder="1" applyAlignment="1" applyProtection="1">
      <alignment horizontal="center"/>
      <protection hidden="1"/>
    </xf>
    <xf numFmtId="0" fontId="5" fillId="25" borderId="28" xfId="0" applyFont="1" applyFill="1" applyBorder="1" applyAlignment="1" applyProtection="1">
      <alignment horizontal="center"/>
      <protection hidden="1"/>
    </xf>
    <xf numFmtId="0" fontId="5" fillId="25" borderId="35" xfId="0" applyFont="1" applyFill="1" applyBorder="1" applyAlignment="1" applyProtection="1">
      <alignment horizontal="center"/>
      <protection hidden="1"/>
    </xf>
    <xf numFmtId="0" fontId="5" fillId="25" borderId="74" xfId="0" applyFont="1" applyFill="1" applyBorder="1" applyAlignment="1" applyProtection="1">
      <alignment horizontal="center"/>
      <protection hidden="1"/>
    </xf>
    <xf numFmtId="0" fontId="4" fillId="25" borderId="49" xfId="0" applyFont="1" applyFill="1" applyBorder="1" applyAlignment="1" applyProtection="1">
      <alignment horizontal="center"/>
      <protection hidden="1"/>
    </xf>
    <xf numFmtId="0" fontId="4" fillId="25" borderId="28" xfId="0" applyFont="1" applyFill="1" applyBorder="1" applyAlignment="1" applyProtection="1">
      <alignment horizontal="center" vertical="center"/>
      <protection hidden="1"/>
    </xf>
    <xf numFmtId="1" fontId="4" fillId="25" borderId="37" xfId="0" applyNumberFormat="1" applyFont="1" applyFill="1" applyBorder="1" applyAlignment="1" applyProtection="1">
      <alignment vertical="center"/>
      <protection hidden="1"/>
    </xf>
    <xf numFmtId="1" fontId="4" fillId="25" borderId="28" xfId="0" applyNumberFormat="1" applyFont="1" applyFill="1" applyBorder="1" applyAlignment="1" applyProtection="1">
      <alignment horizontal="center" vertical="center"/>
      <protection hidden="1"/>
    </xf>
    <xf numFmtId="0" fontId="2" fillId="0" borderId="151" xfId="0" applyFont="1" applyBorder="1" applyAlignment="1" applyProtection="1">
      <alignment horizontal="center" vertical="top" textRotation="180"/>
      <protection hidden="1"/>
    </xf>
    <xf numFmtId="0" fontId="5" fillId="0" borderId="74" xfId="0" applyFont="1" applyBorder="1" applyAlignment="1" applyProtection="1">
      <alignment vertical="center"/>
      <protection hidden="1"/>
    </xf>
    <xf numFmtId="0" fontId="4" fillId="0" borderId="84" xfId="1540" applyBorder="1" applyAlignment="1" applyProtection="1">
      <alignment vertical="center"/>
      <protection hidden="1"/>
    </xf>
    <xf numFmtId="1" fontId="4" fillId="0" borderId="104" xfId="1540" applyNumberFormat="1" applyBorder="1" applyAlignment="1" applyProtection="1">
      <alignment vertical="center"/>
      <protection hidden="1"/>
    </xf>
    <xf numFmtId="0" fontId="4" fillId="0" borderId="104" xfId="1540" applyBorder="1" applyAlignment="1" applyProtection="1">
      <alignment vertical="center"/>
      <protection hidden="1"/>
    </xf>
    <xf numFmtId="0" fontId="4" fillId="0" borderId="85" xfId="1540" applyBorder="1" applyAlignment="1" applyProtection="1">
      <alignment horizontal="left" vertical="center"/>
      <protection hidden="1"/>
    </xf>
    <xf numFmtId="0" fontId="2" fillId="0" borderId="85" xfId="0" applyFont="1" applyBorder="1" applyAlignment="1" applyProtection="1">
      <alignment horizontal="left" vertical="center"/>
      <protection hidden="1"/>
    </xf>
    <xf numFmtId="1" fontId="4" fillId="0" borderId="85" xfId="1540" applyNumberFormat="1" applyBorder="1" applyAlignment="1" applyProtection="1">
      <alignment vertical="center"/>
      <protection hidden="1"/>
    </xf>
    <xf numFmtId="0" fontId="4" fillId="0" borderId="104" xfId="1540" applyBorder="1" applyAlignment="1" applyProtection="1">
      <alignment horizontal="left" vertical="center"/>
      <protection hidden="1"/>
    </xf>
    <xf numFmtId="0" fontId="4" fillId="0" borderId="149" xfId="1540" applyBorder="1" applyAlignment="1" applyProtection="1">
      <alignment horizontal="left" vertical="center"/>
      <protection hidden="1"/>
    </xf>
    <xf numFmtId="0" fontId="5" fillId="0" borderId="74" xfId="0" applyFont="1" applyBorder="1" applyAlignment="1">
      <alignment vertical="center"/>
    </xf>
    <xf numFmtId="0" fontId="4" fillId="0" borderId="152" xfId="0" applyFont="1" applyBorder="1" applyAlignment="1">
      <alignment vertical="center"/>
    </xf>
    <xf numFmtId="0" fontId="4" fillId="0" borderId="148" xfId="0" applyFont="1" applyBorder="1" applyAlignment="1">
      <alignment vertical="center"/>
    </xf>
    <xf numFmtId="0" fontId="2" fillId="0" borderId="153" xfId="0" applyFont="1" applyBorder="1" applyAlignment="1" applyProtection="1">
      <alignment horizontal="center" textRotation="90" shrinkToFit="1"/>
      <protection hidden="1"/>
    </xf>
    <xf numFmtId="0" fontId="2" fillId="0" borderId="143" xfId="0" applyFont="1" applyBorder="1" applyAlignment="1" applyProtection="1">
      <alignment horizontal="center" vertical="center" wrapText="1"/>
      <protection hidden="1"/>
    </xf>
    <xf numFmtId="1" fontId="2" fillId="0" borderId="143" xfId="0" applyNumberFormat="1" applyFont="1" applyBorder="1" applyAlignment="1" applyProtection="1">
      <alignment horizontal="center" vertical="center"/>
      <protection hidden="1"/>
    </xf>
    <xf numFmtId="1" fontId="2" fillId="0" borderId="155" xfId="1540" applyNumberFormat="1" applyFont="1" applyBorder="1" applyAlignment="1" applyProtection="1">
      <alignment horizontal="center" vertical="center"/>
      <protection hidden="1"/>
    </xf>
    <xf numFmtId="1" fontId="2" fillId="0" borderId="144" xfId="1540" applyNumberFormat="1" applyFont="1" applyBorder="1" applyAlignment="1" applyProtection="1">
      <alignment horizontal="center" vertical="center"/>
      <protection hidden="1"/>
    </xf>
    <xf numFmtId="0" fontId="2" fillId="0" borderId="143" xfId="0" applyFont="1" applyBorder="1" applyAlignment="1" applyProtection="1">
      <alignment horizontal="center" vertical="center"/>
      <protection hidden="1"/>
    </xf>
    <xf numFmtId="1" fontId="2" fillId="0" borderId="155" xfId="0" applyNumberFormat="1" applyFont="1" applyBorder="1" applyAlignment="1" applyProtection="1">
      <alignment horizontal="center" vertical="center"/>
      <protection hidden="1"/>
    </xf>
    <xf numFmtId="165" fontId="5" fillId="0" borderId="144" xfId="0" applyNumberFormat="1" applyFont="1" applyBorder="1" applyAlignment="1" applyProtection="1">
      <alignment horizontal="center" vertical="center"/>
      <protection hidden="1"/>
    </xf>
    <xf numFmtId="1" fontId="2" fillId="0" borderId="144" xfId="0" applyNumberFormat="1" applyFont="1" applyBorder="1" applyAlignment="1" applyProtection="1">
      <alignment horizontal="center" vertical="center"/>
      <protection hidden="1"/>
    </xf>
    <xf numFmtId="165" fontId="5" fillId="0" borderId="156" xfId="0" applyNumberFormat="1" applyFont="1" applyBorder="1" applyAlignment="1" applyProtection="1">
      <alignment horizontal="center" vertical="center"/>
      <protection hidden="1"/>
    </xf>
    <xf numFmtId="1" fontId="2" fillId="0" borderId="156" xfId="1540" applyNumberFormat="1" applyFont="1" applyBorder="1" applyAlignment="1" applyProtection="1">
      <alignment horizontal="center" vertical="center"/>
      <protection hidden="1"/>
    </xf>
    <xf numFmtId="1" fontId="2" fillId="0" borderId="154" xfId="0" applyNumberFormat="1" applyFont="1" applyBorder="1" applyAlignment="1" applyProtection="1">
      <alignment horizontal="center" vertical="center"/>
      <protection hidden="1"/>
    </xf>
    <xf numFmtId="0" fontId="2" fillId="0" borderId="145" xfId="0" applyFont="1" applyBorder="1" applyAlignment="1" applyProtection="1">
      <alignment horizontal="center" vertical="center"/>
      <protection hidden="1"/>
    </xf>
    <xf numFmtId="0" fontId="2" fillId="0" borderId="157" xfId="0" applyFont="1" applyBorder="1" applyAlignment="1" applyProtection="1">
      <alignment horizontal="center" vertical="center"/>
      <protection hidden="1"/>
    </xf>
    <xf numFmtId="1" fontId="2" fillId="0" borderId="72" xfId="0" applyNumberFormat="1" applyFont="1" applyBorder="1" applyAlignment="1" applyProtection="1">
      <alignment horizontal="center" vertical="center"/>
      <protection hidden="1"/>
    </xf>
    <xf numFmtId="165" fontId="5" fillId="0" borderId="82" xfId="0" applyNumberFormat="1" applyFont="1" applyBorder="1" applyAlignment="1" applyProtection="1">
      <alignment horizontal="center" vertical="center"/>
      <protection hidden="1"/>
    </xf>
    <xf numFmtId="0" fontId="5" fillId="25" borderId="35" xfId="0" applyFont="1" applyFill="1" applyBorder="1" applyAlignment="1" applyProtection="1">
      <alignment vertical="center"/>
      <protection hidden="1"/>
    </xf>
    <xf numFmtId="0" fontId="49" fillId="25" borderId="35" xfId="0" applyFont="1" applyFill="1" applyBorder="1" applyAlignment="1" applyProtection="1">
      <alignment vertical="center"/>
      <protection hidden="1"/>
    </xf>
    <xf numFmtId="0" fontId="5" fillId="25" borderId="143" xfId="0" applyFont="1" applyFill="1" applyBorder="1" applyAlignment="1" applyProtection="1">
      <alignment vertical="center"/>
      <protection hidden="1"/>
    </xf>
    <xf numFmtId="0" fontId="2" fillId="25" borderId="59" xfId="1540" applyFont="1" applyFill="1" applyBorder="1" applyAlignment="1" applyProtection="1">
      <alignment horizontal="center" vertical="center"/>
      <protection hidden="1"/>
    </xf>
    <xf numFmtId="0" fontId="2" fillId="25" borderId="14" xfId="1540" applyFont="1" applyFill="1" applyBorder="1" applyAlignment="1" applyProtection="1">
      <alignment horizontal="center" vertical="center"/>
      <protection hidden="1"/>
    </xf>
    <xf numFmtId="0" fontId="2" fillId="25" borderId="154" xfId="1540" applyFont="1" applyFill="1" applyBorder="1" applyAlignment="1" applyProtection="1">
      <alignment horizontal="center" vertical="center"/>
      <protection hidden="1"/>
    </xf>
    <xf numFmtId="0" fontId="5" fillId="25" borderId="35" xfId="0" applyFont="1" applyFill="1" applyBorder="1" applyAlignment="1" applyProtection="1">
      <alignment horizontal="left" vertical="center"/>
      <protection hidden="1"/>
    </xf>
    <xf numFmtId="0" fontId="5" fillId="25" borderId="35" xfId="0" applyFont="1" applyFill="1" applyBorder="1" applyAlignment="1" applyProtection="1">
      <alignment horizontal="center" vertical="center"/>
      <protection hidden="1"/>
    </xf>
    <xf numFmtId="1" fontId="5" fillId="25" borderId="35" xfId="0" applyNumberFormat="1" applyFont="1" applyFill="1" applyBorder="1" applyAlignment="1" applyProtection="1">
      <alignment horizontal="center" vertical="center"/>
      <protection hidden="1"/>
    </xf>
    <xf numFmtId="0" fontId="2" fillId="25" borderId="143" xfId="0" applyFont="1" applyFill="1" applyBorder="1" applyAlignment="1" applyProtection="1">
      <alignment horizontal="center" vertical="center"/>
      <protection hidden="1"/>
    </xf>
    <xf numFmtId="0" fontId="2" fillId="25" borderId="59" xfId="0" applyFont="1" applyFill="1" applyBorder="1" applyAlignment="1" applyProtection="1">
      <alignment horizontal="center" vertical="center"/>
      <protection hidden="1"/>
    </xf>
    <xf numFmtId="0" fontId="2" fillId="25" borderId="14" xfId="0" applyFont="1" applyFill="1" applyBorder="1" applyAlignment="1" applyProtection="1">
      <alignment horizontal="center" vertical="center"/>
      <protection hidden="1"/>
    </xf>
    <xf numFmtId="0" fontId="2" fillId="25" borderId="154" xfId="0" applyFont="1" applyFill="1" applyBorder="1" applyAlignment="1" applyProtection="1">
      <alignment horizontal="center" vertical="center"/>
      <protection hidden="1"/>
    </xf>
    <xf numFmtId="1" fontId="2" fillId="25" borderId="31" xfId="0" applyNumberFormat="1" applyFont="1" applyFill="1" applyBorder="1" applyAlignment="1" applyProtection="1">
      <alignment vertical="center"/>
      <protection hidden="1"/>
    </xf>
    <xf numFmtId="1" fontId="2" fillId="25" borderId="74" xfId="0" applyNumberFormat="1" applyFont="1" applyFill="1" applyBorder="1" applyAlignment="1" applyProtection="1">
      <alignment vertical="center"/>
      <protection hidden="1"/>
    </xf>
    <xf numFmtId="0" fontId="4" fillId="0" borderId="150" xfId="0" applyFont="1" applyBorder="1" applyAlignment="1">
      <alignment vertical="center"/>
    </xf>
    <xf numFmtId="0" fontId="4" fillId="25" borderId="28" xfId="0" quotePrefix="1" applyFont="1" applyFill="1" applyBorder="1" applyAlignment="1" applyProtection="1">
      <alignment horizontal="center" vertical="center"/>
      <protection hidden="1"/>
    </xf>
    <xf numFmtId="1" fontId="4" fillId="25" borderId="34" xfId="0" quotePrefix="1" applyNumberFormat="1" applyFont="1" applyFill="1" applyBorder="1" applyAlignment="1" applyProtection="1">
      <alignment horizontal="center" vertical="center"/>
      <protection hidden="1"/>
    </xf>
    <xf numFmtId="0" fontId="4" fillId="25" borderId="22" xfId="0" quotePrefix="1" applyFont="1" applyFill="1" applyBorder="1" applyAlignment="1" applyProtection="1">
      <alignment horizontal="center" vertical="center"/>
      <protection hidden="1"/>
    </xf>
    <xf numFmtId="0" fontId="5" fillId="25" borderId="49" xfId="0" quotePrefix="1" applyFont="1" applyFill="1" applyBorder="1" applyAlignment="1" applyProtection="1">
      <alignment horizontal="center" vertical="center"/>
      <protection locked="0" hidden="1"/>
    </xf>
    <xf numFmtId="0" fontId="5" fillId="25" borderId="18" xfId="0" applyFont="1" applyFill="1" applyBorder="1" applyAlignment="1">
      <alignment horizontal="center" vertical="center"/>
    </xf>
    <xf numFmtId="165" fontId="5" fillId="25" borderId="18" xfId="0" applyNumberFormat="1" applyFont="1" applyFill="1" applyBorder="1" applyAlignment="1">
      <alignment horizontal="center" vertical="center"/>
    </xf>
    <xf numFmtId="1" fontId="5" fillId="25" borderId="28" xfId="0" applyNumberFormat="1" applyFont="1" applyFill="1" applyBorder="1" applyAlignment="1">
      <alignment horizontal="center" vertical="center"/>
    </xf>
    <xf numFmtId="1" fontId="5" fillId="25" borderId="18" xfId="0" applyNumberFormat="1" applyFont="1" applyFill="1" applyBorder="1" applyAlignment="1">
      <alignment horizontal="center" vertical="center"/>
    </xf>
    <xf numFmtId="1" fontId="5" fillId="25" borderId="35" xfId="0" applyNumberFormat="1" applyFont="1" applyFill="1" applyBorder="1" applyAlignment="1">
      <alignment horizontal="center" vertical="center"/>
    </xf>
    <xf numFmtId="0" fontId="4" fillId="25" borderId="37" xfId="0" applyFont="1" applyFill="1" applyBorder="1" applyAlignment="1">
      <alignment vertical="center"/>
    </xf>
    <xf numFmtId="165" fontId="4" fillId="25" borderId="18" xfId="0" applyNumberFormat="1" applyFont="1" applyFill="1" applyBorder="1" applyAlignment="1">
      <alignment horizontal="center" vertical="center"/>
    </xf>
    <xf numFmtId="165" fontId="4" fillId="25" borderId="35" xfId="0" applyNumberFormat="1" applyFont="1" applyFill="1" applyBorder="1" applyAlignment="1">
      <alignment horizontal="center" vertical="center"/>
    </xf>
    <xf numFmtId="0" fontId="5" fillId="25" borderId="20" xfId="0" applyFont="1" applyFill="1" applyBorder="1" applyAlignment="1">
      <alignment horizontal="center" vertical="center"/>
    </xf>
    <xf numFmtId="0" fontId="5" fillId="25" borderId="16" xfId="0" applyFont="1" applyFill="1" applyBorder="1" applyAlignment="1">
      <alignment horizontal="center" vertical="center"/>
    </xf>
    <xf numFmtId="0" fontId="5" fillId="25" borderId="0" xfId="0" applyFont="1" applyFill="1" applyAlignment="1">
      <alignment horizontal="center" vertical="center"/>
    </xf>
    <xf numFmtId="1" fontId="4" fillId="0" borderId="137" xfId="0" applyNumberFormat="1" applyFont="1" applyBorder="1" applyAlignment="1" applyProtection="1">
      <alignment horizontal="center" vertical="center"/>
      <protection hidden="1"/>
    </xf>
    <xf numFmtId="165" fontId="4" fillId="0" borderId="93" xfId="0" applyNumberFormat="1" applyFont="1" applyBorder="1" applyAlignment="1" applyProtection="1">
      <alignment horizontal="center" vertical="center"/>
      <protection hidden="1"/>
    </xf>
    <xf numFmtId="165" fontId="4" fillId="0" borderId="14" xfId="0" applyNumberFormat="1" applyFont="1" applyBorder="1" applyAlignment="1" applyProtection="1">
      <alignment horizontal="center" vertical="center"/>
      <protection hidden="1"/>
    </xf>
    <xf numFmtId="165" fontId="4" fillId="0" borderId="59" xfId="0" applyNumberFormat="1" applyFont="1" applyBorder="1" applyAlignment="1" applyProtection="1">
      <alignment horizontal="center" vertical="center"/>
      <protection hidden="1"/>
    </xf>
    <xf numFmtId="165" fontId="4" fillId="0" borderId="119" xfId="0" applyNumberFormat="1" applyFont="1" applyBorder="1" applyAlignment="1" applyProtection="1">
      <alignment horizontal="center" vertical="center"/>
      <protection hidden="1"/>
    </xf>
    <xf numFmtId="165" fontId="4" fillId="0" borderId="60" xfId="0" applyNumberFormat="1" applyFont="1" applyBorder="1" applyAlignment="1" applyProtection="1">
      <alignment horizontal="center" vertical="center"/>
      <protection hidden="1"/>
    </xf>
    <xf numFmtId="165" fontId="4" fillId="0" borderId="89" xfId="0" applyNumberFormat="1" applyFont="1" applyBorder="1" applyAlignment="1" applyProtection="1">
      <alignment horizontal="center" vertical="center"/>
      <protection hidden="1"/>
    </xf>
    <xf numFmtId="165" fontId="4" fillId="0" borderId="15" xfId="0" applyNumberFormat="1" applyFont="1" applyBorder="1" applyAlignment="1" applyProtection="1">
      <alignment horizontal="center" vertical="center"/>
      <protection hidden="1"/>
    </xf>
    <xf numFmtId="165" fontId="4" fillId="0" borderId="58" xfId="0" applyNumberFormat="1" applyFont="1" applyBorder="1" applyAlignment="1" applyProtection="1">
      <alignment horizontal="center" vertical="center"/>
      <protection hidden="1"/>
    </xf>
    <xf numFmtId="165" fontId="2" fillId="0" borderId="89" xfId="0" quotePrefix="1" applyNumberFormat="1" applyFont="1" applyBorder="1" applyAlignment="1" applyProtection="1">
      <alignment horizontal="center" vertical="center"/>
      <protection hidden="1"/>
    </xf>
    <xf numFmtId="165" fontId="4" fillId="0" borderId="116" xfId="0" applyNumberFormat="1" applyFont="1" applyBorder="1" applyAlignment="1" applyProtection="1">
      <alignment horizontal="center" vertical="center"/>
      <protection hidden="1"/>
    </xf>
    <xf numFmtId="165" fontId="4" fillId="0" borderId="29" xfId="0" applyNumberFormat="1" applyFont="1" applyBorder="1" applyAlignment="1" applyProtection="1">
      <alignment horizontal="center" vertical="center"/>
      <protection hidden="1"/>
    </xf>
    <xf numFmtId="165" fontId="4" fillId="0" borderId="87" xfId="0" applyNumberFormat="1" applyFont="1" applyBorder="1" applyAlignment="1" applyProtection="1">
      <alignment horizontal="center" vertical="center"/>
      <protection hidden="1"/>
    </xf>
    <xf numFmtId="165" fontId="2" fillId="0" borderId="87" xfId="0" quotePrefix="1" applyNumberFormat="1" applyFont="1" applyBorder="1" applyAlignment="1" applyProtection="1">
      <alignment horizontal="center" vertical="center"/>
      <protection hidden="1"/>
    </xf>
    <xf numFmtId="165" fontId="4" fillId="0" borderId="117" xfId="0" applyNumberFormat="1" applyFont="1" applyBorder="1" applyAlignment="1" applyProtection="1">
      <alignment horizontal="center" vertical="center"/>
      <protection hidden="1"/>
    </xf>
    <xf numFmtId="165" fontId="4" fillId="0" borderId="77" xfId="0" applyNumberFormat="1" applyFont="1" applyBorder="1" applyAlignment="1" applyProtection="1">
      <alignment horizontal="center" vertical="center"/>
      <protection hidden="1"/>
    </xf>
    <xf numFmtId="1" fontId="4" fillId="0" borderId="93" xfId="0" applyNumberFormat="1" applyFont="1" applyBorder="1" applyAlignment="1" applyProtection="1">
      <alignment horizontal="center" vertical="center"/>
      <protection hidden="1"/>
    </xf>
    <xf numFmtId="1" fontId="4" fillId="0" borderId="59" xfId="0" applyNumberFormat="1" applyFont="1" applyBorder="1" applyAlignment="1" applyProtection="1">
      <alignment horizontal="center" vertical="center"/>
      <protection hidden="1"/>
    </xf>
    <xf numFmtId="1" fontId="4" fillId="0" borderId="119" xfId="0" applyNumberFormat="1" applyFont="1" applyBorder="1" applyAlignment="1" applyProtection="1">
      <alignment horizontal="center" vertical="center"/>
      <protection hidden="1"/>
    </xf>
    <xf numFmtId="1" fontId="4" fillId="0" borderId="60" xfId="0" applyNumberFormat="1" applyFont="1" applyBorder="1" applyAlignment="1" applyProtection="1">
      <alignment horizontal="center" vertical="center"/>
      <protection hidden="1"/>
    </xf>
    <xf numFmtId="1" fontId="4" fillId="0" borderId="77" xfId="0" applyNumberFormat="1" applyFont="1" applyBorder="1" applyAlignment="1" applyProtection="1">
      <alignment horizontal="center" vertical="center"/>
      <protection hidden="1"/>
    </xf>
    <xf numFmtId="1" fontId="2" fillId="0" borderId="109" xfId="0" applyNumberFormat="1" applyFont="1" applyBorder="1" applyAlignment="1" applyProtection="1">
      <alignment horizontal="center" vertical="center"/>
      <protection hidden="1"/>
    </xf>
    <xf numFmtId="1" fontId="4" fillId="0" borderId="83" xfId="0" applyNumberFormat="1" applyFont="1" applyBorder="1" applyAlignment="1" applyProtection="1">
      <alignment horizontal="center" vertical="center"/>
      <protection hidden="1"/>
    </xf>
    <xf numFmtId="1" fontId="4" fillId="0" borderId="109" xfId="0" applyNumberFormat="1" applyFont="1" applyBorder="1" applyAlignment="1" applyProtection="1">
      <alignment horizontal="center" vertical="center"/>
      <protection hidden="1"/>
    </xf>
    <xf numFmtId="1" fontId="4" fillId="0" borderId="67" xfId="0" applyNumberFormat="1" applyFont="1" applyBorder="1" applyAlignment="1" applyProtection="1">
      <alignment horizontal="center" vertical="center"/>
      <protection hidden="1"/>
    </xf>
    <xf numFmtId="1" fontId="2" fillId="0" borderId="33" xfId="0" applyNumberFormat="1" applyFont="1" applyBorder="1" applyAlignment="1" applyProtection="1">
      <alignment horizontal="center" vertical="center"/>
      <protection hidden="1"/>
    </xf>
    <xf numFmtId="1" fontId="4" fillId="0" borderId="32" xfId="0" applyNumberFormat="1" applyFont="1" applyBorder="1" applyAlignment="1" applyProtection="1">
      <alignment horizontal="center" vertical="center"/>
      <protection hidden="1"/>
    </xf>
    <xf numFmtId="1" fontId="4" fillId="0" borderId="39" xfId="0" applyNumberFormat="1" applyFont="1" applyBorder="1" applyAlignment="1" applyProtection="1">
      <alignment horizontal="center" vertical="center"/>
      <protection hidden="1"/>
    </xf>
    <xf numFmtId="1" fontId="4" fillId="0" borderId="33" xfId="0" applyNumberFormat="1" applyFont="1" applyBorder="1" applyAlignment="1" applyProtection="1">
      <alignment horizontal="center" vertical="center"/>
      <protection hidden="1"/>
    </xf>
    <xf numFmtId="1" fontId="2" fillId="0" borderId="33" xfId="0" quotePrefix="1" applyNumberFormat="1" applyFont="1" applyBorder="1" applyAlignment="1" applyProtection="1">
      <alignment horizontal="center" vertical="center"/>
      <protection hidden="1"/>
    </xf>
    <xf numFmtId="1" fontId="4" fillId="0" borderId="113" xfId="0" applyNumberFormat="1" applyFont="1" applyBorder="1" applyAlignment="1" applyProtection="1">
      <alignment horizontal="center" vertical="center"/>
      <protection hidden="1"/>
    </xf>
    <xf numFmtId="1" fontId="4" fillId="0" borderId="76" xfId="0" applyNumberFormat="1" applyFont="1" applyBorder="1" applyAlignment="1" applyProtection="1">
      <alignment horizontal="center" vertical="center"/>
      <protection hidden="1"/>
    </xf>
    <xf numFmtId="1" fontId="2" fillId="0" borderId="93" xfId="0" quotePrefix="1" applyNumberFormat="1" applyFont="1" applyBorder="1" applyAlignment="1" applyProtection="1">
      <alignment horizontal="center" vertical="center"/>
      <protection hidden="1"/>
    </xf>
    <xf numFmtId="1" fontId="4" fillId="0" borderId="148" xfId="0" applyNumberFormat="1" applyFont="1" applyBorder="1" applyAlignment="1" applyProtection="1">
      <alignment horizontal="center" vertical="center"/>
      <protection hidden="1"/>
    </xf>
    <xf numFmtId="1" fontId="4" fillId="0" borderId="94" xfId="0" applyNumberFormat="1" applyFont="1" applyBorder="1" applyAlignment="1" applyProtection="1">
      <alignment horizontal="center" vertical="center"/>
      <protection hidden="1"/>
    </xf>
    <xf numFmtId="0" fontId="4" fillId="0" borderId="74" xfId="0" quotePrefix="1" applyFont="1" applyBorder="1" applyAlignment="1" applyProtection="1">
      <alignment horizontal="center" vertical="center"/>
      <protection hidden="1"/>
    </xf>
    <xf numFmtId="0" fontId="4" fillId="0" borderId="92" xfId="0" applyFont="1" applyBorder="1" applyAlignment="1" applyProtection="1">
      <alignment horizontal="center" vertical="center"/>
      <protection hidden="1"/>
    </xf>
    <xf numFmtId="0" fontId="4" fillId="25" borderId="79" xfId="0" applyFont="1" applyFill="1" applyBorder="1" applyAlignment="1" applyProtection="1">
      <alignment horizontal="center" vertical="center"/>
      <protection hidden="1"/>
    </xf>
    <xf numFmtId="1" fontId="4" fillId="25" borderId="35" xfId="0" applyNumberFormat="1" applyFont="1" applyFill="1" applyBorder="1" applyAlignment="1" applyProtection="1">
      <alignment horizontal="center" vertical="center"/>
      <protection hidden="1"/>
    </xf>
    <xf numFmtId="1" fontId="4" fillId="25" borderId="114" xfId="0" applyNumberFormat="1" applyFont="1" applyFill="1" applyBorder="1" applyAlignment="1" applyProtection="1">
      <alignment horizontal="center" vertical="center"/>
      <protection hidden="1"/>
    </xf>
    <xf numFmtId="1" fontId="4" fillId="25" borderId="74" xfId="0" applyNumberFormat="1" applyFont="1" applyFill="1" applyBorder="1" applyAlignment="1" applyProtection="1">
      <alignment horizontal="center" vertical="center"/>
      <protection hidden="1"/>
    </xf>
    <xf numFmtId="0" fontId="2" fillId="25" borderId="35" xfId="0" applyFont="1" applyFill="1" applyBorder="1" applyAlignment="1" applyProtection="1">
      <alignment horizontal="center"/>
      <protection hidden="1"/>
    </xf>
    <xf numFmtId="0" fontId="2" fillId="25" borderId="114" xfId="0" applyFont="1" applyFill="1" applyBorder="1" applyAlignment="1" applyProtection="1">
      <alignment horizontal="center"/>
      <protection hidden="1"/>
    </xf>
    <xf numFmtId="0" fontId="2" fillId="25" borderId="74" xfId="0" applyFont="1" applyFill="1" applyBorder="1" applyAlignment="1" applyProtection="1">
      <alignment horizontal="center"/>
      <protection hidden="1"/>
    </xf>
    <xf numFmtId="0" fontId="4" fillId="25" borderId="49" xfId="0" applyFont="1" applyFill="1" applyBorder="1" applyAlignment="1" applyProtection="1">
      <alignment horizontal="center" vertical="center"/>
      <protection hidden="1"/>
    </xf>
    <xf numFmtId="0" fontId="4" fillId="25" borderId="76" xfId="0" applyFont="1" applyFill="1" applyBorder="1" applyAlignment="1" applyProtection="1">
      <alignment horizontal="center" vertical="center"/>
      <protection hidden="1"/>
    </xf>
    <xf numFmtId="0" fontId="4" fillId="25" borderId="118" xfId="0" applyFont="1" applyFill="1" applyBorder="1" applyAlignment="1" applyProtection="1">
      <alignment horizontal="center" vertical="center"/>
      <protection hidden="1"/>
    </xf>
    <xf numFmtId="0" fontId="4" fillId="25" borderId="141" xfId="0" applyFont="1" applyFill="1" applyBorder="1" applyAlignment="1" applyProtection="1">
      <alignment horizontal="center" vertical="center"/>
      <protection hidden="1"/>
    </xf>
    <xf numFmtId="0" fontId="4" fillId="25" borderId="35" xfId="0" applyFont="1" applyFill="1" applyBorder="1" applyAlignment="1" applyProtection="1">
      <alignment horizontal="center" vertical="center"/>
      <protection hidden="1"/>
    </xf>
    <xf numFmtId="0" fontId="4" fillId="25" borderId="32" xfId="0" applyFont="1" applyFill="1" applyBorder="1" applyAlignment="1" applyProtection="1">
      <alignment horizontal="center" vertical="center"/>
      <protection hidden="1"/>
    </xf>
    <xf numFmtId="0" fontId="5" fillId="25" borderId="40" xfId="0" quotePrefix="1" applyFont="1" applyFill="1" applyBorder="1" applyAlignment="1" applyProtection="1">
      <alignment horizontal="center" vertical="center"/>
      <protection locked="0" hidden="1"/>
    </xf>
    <xf numFmtId="0" fontId="2" fillId="25" borderId="55" xfId="0" applyFont="1" applyFill="1" applyBorder="1" applyAlignment="1" applyProtection="1">
      <alignment horizontal="center" vertical="center"/>
      <protection hidden="1"/>
    </xf>
    <xf numFmtId="0" fontId="5" fillId="25" borderId="55" xfId="0" applyFont="1" applyFill="1" applyBorder="1" applyAlignment="1" applyProtection="1">
      <alignment horizontal="center" vertical="center"/>
      <protection hidden="1"/>
    </xf>
    <xf numFmtId="0" fontId="2" fillId="25" borderId="139" xfId="0" applyFont="1" applyFill="1" applyBorder="1" applyAlignment="1" applyProtection="1">
      <alignment horizontal="center" vertical="center"/>
      <protection hidden="1"/>
    </xf>
    <xf numFmtId="0" fontId="5" fillId="25" borderId="158" xfId="0" applyFont="1" applyFill="1" applyBorder="1" applyAlignment="1" applyProtection="1">
      <alignment horizontal="center" vertical="center"/>
      <protection hidden="1"/>
    </xf>
    <xf numFmtId="166" fontId="4" fillId="25" borderId="28" xfId="0" applyNumberFormat="1" applyFont="1" applyFill="1" applyBorder="1" applyAlignment="1" applyProtection="1">
      <alignment horizontal="center" vertical="center"/>
      <protection hidden="1"/>
    </xf>
    <xf numFmtId="1" fontId="2" fillId="25" borderId="27" xfId="0" applyNumberFormat="1" applyFont="1" applyFill="1" applyBorder="1" applyAlignment="1" applyProtection="1">
      <alignment horizontal="center" vertical="center"/>
      <protection hidden="1"/>
    </xf>
    <xf numFmtId="1" fontId="4" fillId="25" borderId="18" xfId="0" applyNumberFormat="1" applyFont="1" applyFill="1" applyBorder="1" applyAlignment="1" applyProtection="1">
      <alignment horizontal="center" vertical="center"/>
      <protection hidden="1"/>
    </xf>
    <xf numFmtId="1" fontId="4" fillId="25" borderId="36" xfId="0" applyNumberFormat="1" applyFont="1" applyFill="1" applyBorder="1" applyAlignment="1" applyProtection="1">
      <alignment horizontal="center" vertical="center"/>
      <protection hidden="1"/>
    </xf>
    <xf numFmtId="1" fontId="4" fillId="25" borderId="27" xfId="0" applyNumberFormat="1" applyFont="1" applyFill="1" applyBorder="1" applyAlignment="1" applyProtection="1">
      <alignment horizontal="center" vertical="center"/>
      <protection hidden="1"/>
    </xf>
    <xf numFmtId="1" fontId="4" fillId="25" borderId="138" xfId="0" applyNumberFormat="1" applyFont="1" applyFill="1" applyBorder="1" applyAlignment="1" applyProtection="1">
      <alignment horizontal="center" vertical="center"/>
      <protection hidden="1"/>
    </xf>
    <xf numFmtId="1" fontId="4" fillId="25" borderId="54" xfId="0" applyNumberFormat="1" applyFont="1" applyFill="1" applyBorder="1" applyAlignment="1" applyProtection="1">
      <alignment horizontal="center" vertical="center"/>
      <protection hidden="1"/>
    </xf>
    <xf numFmtId="1" fontId="4" fillId="25" borderId="37" xfId="0" applyNumberFormat="1" applyFont="1" applyFill="1" applyBorder="1" applyAlignment="1" applyProtection="1">
      <alignment horizontal="left" vertical="center"/>
      <protection hidden="1"/>
    </xf>
    <xf numFmtId="0" fontId="12" fillId="25" borderId="28" xfId="0" quotePrefix="1" applyFont="1" applyFill="1" applyBorder="1" applyAlignment="1" applyProtection="1">
      <alignment horizontal="center" vertical="center"/>
      <protection locked="0" hidden="1"/>
    </xf>
    <xf numFmtId="1" fontId="4" fillId="25" borderId="28" xfId="0" applyNumberFormat="1" applyFont="1" applyFill="1" applyBorder="1" applyAlignment="1" applyProtection="1">
      <alignment horizontal="center" vertical="center"/>
      <protection locked="0" hidden="1"/>
    </xf>
    <xf numFmtId="1" fontId="4" fillId="25" borderId="34" xfId="0" quotePrefix="1" applyNumberFormat="1" applyFont="1" applyFill="1" applyBorder="1" applyAlignment="1" applyProtection="1">
      <alignment horizontal="center" vertical="center"/>
      <protection locked="0" hidden="1"/>
    </xf>
    <xf numFmtId="1" fontId="4" fillId="25" borderId="23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25" borderId="22" xfId="0" quotePrefix="1" applyFont="1" applyFill="1" applyBorder="1" applyAlignment="1" applyProtection="1">
      <alignment horizontal="center" vertical="center"/>
      <protection locked="0" hidden="1"/>
    </xf>
    <xf numFmtId="0" fontId="4" fillId="25" borderId="40" xfId="0" quotePrefix="1" applyFont="1" applyFill="1" applyBorder="1" applyAlignment="1">
      <alignment horizontal="center" vertical="center" wrapText="1"/>
    </xf>
    <xf numFmtId="164" fontId="4" fillId="25" borderId="49" xfId="0" quotePrefix="1" applyNumberFormat="1" applyFont="1" applyFill="1" applyBorder="1" applyAlignment="1" applyProtection="1">
      <alignment horizontal="center" vertical="center"/>
      <protection hidden="1"/>
    </xf>
    <xf numFmtId="0" fontId="4" fillId="25" borderId="49" xfId="0" applyFont="1" applyFill="1" applyBorder="1" applyAlignment="1" applyProtection="1">
      <alignment horizontal="center" vertical="center"/>
      <protection locked="0" hidden="1"/>
    </xf>
    <xf numFmtId="16" fontId="2" fillId="0" borderId="54" xfId="0" applyNumberFormat="1" applyFont="1" applyBorder="1" applyAlignment="1">
      <alignment horizontal="center" vertical="center"/>
    </xf>
    <xf numFmtId="165" fontId="2" fillId="0" borderId="94" xfId="0" quotePrefix="1" applyNumberFormat="1" applyFont="1" applyBorder="1" applyAlignment="1" applyProtection="1">
      <alignment horizontal="center" vertical="center"/>
      <protection hidden="1"/>
    </xf>
    <xf numFmtId="165" fontId="2" fillId="0" borderId="90" xfId="0" quotePrefix="1" applyNumberFormat="1" applyFont="1" applyBorder="1" applyAlignment="1" applyProtection="1">
      <alignment horizontal="center" vertical="center"/>
      <protection hidden="1"/>
    </xf>
    <xf numFmtId="0" fontId="12" fillId="0" borderId="74" xfId="0" applyFont="1" applyBorder="1" applyAlignment="1" applyProtection="1">
      <alignment horizontal="center" vertical="center"/>
      <protection hidden="1"/>
    </xf>
    <xf numFmtId="0" fontId="4" fillId="0" borderId="148" xfId="0" applyFont="1" applyBorder="1" applyAlignment="1" applyProtection="1">
      <alignment horizontal="center" vertical="center"/>
      <protection hidden="1"/>
    </xf>
    <xf numFmtId="0" fontId="4" fillId="0" borderId="104" xfId="0" applyFont="1" applyBorder="1" applyAlignment="1" applyProtection="1">
      <alignment horizontal="center" vertical="center"/>
      <protection hidden="1"/>
    </xf>
    <xf numFmtId="0" fontId="4" fillId="0" borderId="150" xfId="0" applyFont="1" applyBorder="1" applyAlignment="1" applyProtection="1">
      <alignment horizontal="center" vertical="center"/>
      <protection hidden="1"/>
    </xf>
    <xf numFmtId="1" fontId="4" fillId="0" borderId="14" xfId="0" applyNumberFormat="1" applyFont="1" applyBorder="1" applyAlignment="1" applyProtection="1">
      <alignment horizontal="center" vertical="center"/>
      <protection locked="0" hidden="1"/>
    </xf>
    <xf numFmtId="1" fontId="4" fillId="0" borderId="93" xfId="0" applyNumberFormat="1" applyFont="1" applyBorder="1" applyAlignment="1" applyProtection="1">
      <alignment horizontal="center" vertical="center"/>
      <protection locked="0" hidden="1"/>
    </xf>
    <xf numFmtId="1" fontId="4" fillId="0" borderId="84" xfId="0" applyNumberFormat="1" applyFont="1" applyBorder="1" applyAlignment="1" applyProtection="1">
      <alignment horizontal="center" vertical="center"/>
      <protection hidden="1"/>
    </xf>
    <xf numFmtId="1" fontId="4" fillId="0" borderId="15" xfId="0" applyNumberFormat="1" applyFont="1" applyBorder="1" applyAlignment="1" applyProtection="1">
      <alignment horizontal="center" vertical="center"/>
      <protection locked="0" hidden="1"/>
    </xf>
    <xf numFmtId="1" fontId="4" fillId="0" borderId="89" xfId="0" applyNumberFormat="1" applyFont="1" applyBorder="1" applyAlignment="1" applyProtection="1">
      <alignment horizontal="center" vertical="center"/>
      <protection locked="0" hidden="1"/>
    </xf>
    <xf numFmtId="1" fontId="4" fillId="0" borderId="104" xfId="0" applyNumberFormat="1" applyFont="1" applyBorder="1" applyAlignment="1" applyProtection="1">
      <alignment horizontal="center" vertical="center"/>
      <protection hidden="1"/>
    </xf>
    <xf numFmtId="1" fontId="4" fillId="0" borderId="91" xfId="0" applyNumberFormat="1" applyFont="1" applyBorder="1" applyAlignment="1" applyProtection="1">
      <alignment horizontal="center" vertical="center"/>
      <protection locked="0" hidden="1"/>
    </xf>
    <xf numFmtId="1" fontId="4" fillId="0" borderId="58" xfId="0" applyNumberFormat="1" applyFont="1" applyBorder="1" applyAlignment="1" applyProtection="1">
      <alignment horizontal="center" vertical="center"/>
      <protection locked="0" hidden="1"/>
    </xf>
    <xf numFmtId="1" fontId="2" fillId="0" borderId="58" xfId="0" applyNumberFormat="1" applyFont="1" applyBorder="1" applyAlignment="1" applyProtection="1">
      <alignment horizontal="center" vertical="center"/>
      <protection locked="0" hidden="1"/>
    </xf>
    <xf numFmtId="1" fontId="4" fillId="0" borderId="104" xfId="0" applyNumberFormat="1" applyFont="1" applyBorder="1" applyAlignment="1" applyProtection="1">
      <alignment horizontal="center" vertical="center"/>
      <protection locked="0" hidden="1"/>
    </xf>
    <xf numFmtId="165" fontId="4" fillId="0" borderId="89" xfId="0" applyNumberFormat="1" applyFont="1" applyBorder="1" applyAlignment="1" applyProtection="1">
      <alignment horizontal="center" vertical="center"/>
      <protection locked="0" hidden="1"/>
    </xf>
    <xf numFmtId="165" fontId="4" fillId="0" borderId="104" xfId="0" applyNumberFormat="1" applyFont="1" applyBorder="1" applyAlignment="1" applyProtection="1">
      <alignment horizontal="center" vertical="center"/>
      <protection hidden="1"/>
    </xf>
    <xf numFmtId="1" fontId="4" fillId="0" borderId="83" xfId="0" applyNumberFormat="1" applyFont="1" applyBorder="1" applyAlignment="1" applyProtection="1">
      <alignment horizontal="center" vertical="center"/>
      <protection locked="0" hidden="1"/>
    </xf>
    <xf numFmtId="1" fontId="4" fillId="0" borderId="82" xfId="0" applyNumberFormat="1" applyFont="1" applyBorder="1" applyAlignment="1" applyProtection="1">
      <alignment horizontal="center" vertical="center"/>
      <protection hidden="1"/>
    </xf>
    <xf numFmtId="1" fontId="4" fillId="0" borderId="109" xfId="0" applyNumberFormat="1" applyFont="1" applyBorder="1" applyAlignment="1" applyProtection="1">
      <alignment horizontal="center" vertical="center"/>
      <protection locked="0" hidden="1"/>
    </xf>
    <xf numFmtId="1" fontId="4" fillId="0" borderId="149" xfId="0" applyNumberFormat="1" applyFont="1" applyBorder="1" applyAlignment="1" applyProtection="1">
      <alignment horizontal="center" vertical="center"/>
      <protection hidden="1"/>
    </xf>
    <xf numFmtId="1" fontId="4" fillId="0" borderId="16" xfId="0" applyNumberFormat="1" applyFont="1" applyBorder="1" applyAlignment="1" applyProtection="1">
      <alignment horizontal="center" vertical="center"/>
      <protection locked="0" hidden="1"/>
    </xf>
    <xf numFmtId="1" fontId="4" fillId="0" borderId="7" xfId="0" applyNumberFormat="1" applyFont="1" applyBorder="1" applyAlignment="1" applyProtection="1">
      <alignment horizontal="center" vertical="center"/>
      <protection hidden="1"/>
    </xf>
    <xf numFmtId="1" fontId="4" fillId="0" borderId="26" xfId="0" applyNumberFormat="1" applyFont="1" applyBorder="1" applyAlignment="1" applyProtection="1">
      <alignment horizontal="center" vertical="center"/>
      <protection locked="0" hidden="1"/>
    </xf>
    <xf numFmtId="1" fontId="4" fillId="0" borderId="16" xfId="0" applyNumberFormat="1" applyFont="1" applyBorder="1" applyAlignment="1" applyProtection="1">
      <alignment horizontal="center" vertical="center"/>
      <protection hidden="1"/>
    </xf>
    <xf numFmtId="1" fontId="4" fillId="0" borderId="147" xfId="0" applyNumberFormat="1" applyFont="1" applyBorder="1" applyAlignment="1" applyProtection="1">
      <alignment horizontal="center" vertical="center"/>
      <protection hidden="1"/>
    </xf>
    <xf numFmtId="165" fontId="4" fillId="0" borderId="19" xfId="0" applyNumberFormat="1" applyFont="1" applyBorder="1" applyAlignment="1" applyProtection="1">
      <alignment horizontal="center" vertical="center"/>
      <protection locked="0" hidden="1"/>
    </xf>
    <xf numFmtId="165" fontId="4" fillId="0" borderId="87" xfId="0" applyNumberFormat="1" applyFont="1" applyBorder="1" applyAlignment="1" applyProtection="1">
      <alignment horizontal="center" vertical="center"/>
      <protection locked="0" hidden="1"/>
    </xf>
    <xf numFmtId="165" fontId="4" fillId="0" borderId="148" xfId="0" applyNumberFormat="1" applyFont="1" applyBorder="1" applyAlignment="1" applyProtection="1">
      <alignment horizontal="center" vertical="center"/>
      <protection hidden="1"/>
    </xf>
    <xf numFmtId="165" fontId="4" fillId="0" borderId="16" xfId="0" applyNumberFormat="1" applyFont="1" applyBorder="1" applyAlignment="1" applyProtection="1">
      <alignment horizontal="center" vertical="center"/>
      <protection locked="0" hidden="1"/>
    </xf>
    <xf numFmtId="165" fontId="2" fillId="0" borderId="7" xfId="0" applyNumberFormat="1" applyFont="1" applyBorder="1" applyAlignment="1" applyProtection="1">
      <alignment horizontal="center" vertical="center"/>
      <protection hidden="1"/>
    </xf>
    <xf numFmtId="165" fontId="4" fillId="0" borderId="26" xfId="0" applyNumberFormat="1" applyFont="1" applyBorder="1" applyAlignment="1" applyProtection="1">
      <alignment horizontal="center" vertical="center"/>
      <protection locked="0" hidden="1"/>
    </xf>
    <xf numFmtId="165" fontId="4" fillId="0" borderId="16" xfId="0" applyNumberFormat="1" applyFont="1" applyBorder="1" applyAlignment="1" applyProtection="1">
      <alignment horizontal="center" vertical="center"/>
      <protection hidden="1"/>
    </xf>
    <xf numFmtId="165" fontId="2" fillId="0" borderId="16" xfId="0" quotePrefix="1" applyNumberFormat="1" applyFont="1" applyBorder="1" applyAlignment="1" applyProtection="1">
      <alignment horizontal="center" vertical="center"/>
      <protection hidden="1"/>
    </xf>
    <xf numFmtId="165" fontId="2" fillId="0" borderId="147" xfId="0" applyNumberFormat="1" applyFont="1" applyBorder="1" applyAlignment="1" applyProtection="1">
      <alignment horizontal="center" vertical="center"/>
      <protection hidden="1"/>
    </xf>
    <xf numFmtId="0" fontId="4" fillId="25" borderId="35" xfId="0" applyFont="1" applyFill="1" applyBorder="1" applyAlignment="1" applyProtection="1">
      <alignment horizontal="center" vertical="center"/>
      <protection locked="0" hidden="1"/>
    </xf>
    <xf numFmtId="0" fontId="4" fillId="25" borderId="74" xfId="0" applyFont="1" applyFill="1" applyBorder="1" applyAlignment="1" applyProtection="1">
      <alignment horizontal="center" vertical="center"/>
      <protection locked="0" hidden="1"/>
    </xf>
    <xf numFmtId="0" fontId="2" fillId="0" borderId="159" xfId="0" applyFont="1" applyBorder="1" applyAlignment="1" applyProtection="1">
      <alignment horizontal="center" textRotation="90"/>
      <protection hidden="1"/>
    </xf>
    <xf numFmtId="0" fontId="2" fillId="0" borderId="158" xfId="0" applyFont="1" applyBorder="1" applyAlignment="1">
      <alignment horizontal="center" vertical="center" wrapText="1"/>
    </xf>
    <xf numFmtId="1" fontId="4" fillId="25" borderId="27" xfId="0" applyNumberFormat="1" applyFont="1" applyFill="1" applyBorder="1" applyAlignment="1" applyProtection="1">
      <alignment horizontal="center" vertical="center"/>
      <protection locked="0" hidden="1"/>
    </xf>
    <xf numFmtId="164" fontId="4" fillId="25" borderId="35" xfId="0" applyNumberFormat="1" applyFont="1" applyFill="1" applyBorder="1" applyAlignment="1" applyProtection="1">
      <alignment horizontal="center" vertical="center"/>
      <protection hidden="1"/>
    </xf>
    <xf numFmtId="164" fontId="4" fillId="25" borderId="74" xfId="0" applyNumberFormat="1" applyFont="1" applyFill="1" applyBorder="1" applyAlignment="1" applyProtection="1">
      <alignment horizontal="center" vertical="center"/>
      <protection hidden="1"/>
    </xf>
    <xf numFmtId="0" fontId="12" fillId="25" borderId="49" xfId="0" applyFont="1" applyFill="1" applyBorder="1" applyAlignment="1" applyProtection="1">
      <alignment horizontal="center" vertical="center"/>
      <protection locked="0" hidden="1"/>
    </xf>
    <xf numFmtId="0" fontId="12" fillId="25" borderId="35" xfId="0" applyFont="1" applyFill="1" applyBorder="1" applyAlignment="1" applyProtection="1">
      <alignment horizontal="center" vertical="center"/>
      <protection locked="0" hidden="1"/>
    </xf>
    <xf numFmtId="0" fontId="12" fillId="25" borderId="74" xfId="0" applyFont="1" applyFill="1" applyBorder="1" applyAlignment="1" applyProtection="1">
      <alignment horizontal="center" vertical="center"/>
      <protection locked="0" hidden="1"/>
    </xf>
    <xf numFmtId="0" fontId="4" fillId="25" borderId="28" xfId="0" applyFont="1" applyFill="1" applyBorder="1" applyAlignment="1" applyProtection="1">
      <alignment horizontal="center" vertical="center"/>
      <protection locked="0" hidden="1"/>
    </xf>
    <xf numFmtId="0" fontId="4" fillId="25" borderId="36" xfId="0" applyFont="1" applyFill="1" applyBorder="1" applyAlignment="1" applyProtection="1">
      <alignment horizontal="center" vertical="center"/>
      <protection locked="0" hidden="1"/>
    </xf>
    <xf numFmtId="0" fontId="12" fillId="25" borderId="28" xfId="0" applyFont="1" applyFill="1" applyBorder="1" applyAlignment="1" applyProtection="1">
      <alignment horizontal="center" vertical="center"/>
      <protection locked="0" hidden="1"/>
    </xf>
    <xf numFmtId="165" fontId="12" fillId="25" borderId="35" xfId="0" applyNumberFormat="1" applyFont="1" applyFill="1" applyBorder="1" applyAlignment="1" applyProtection="1">
      <alignment horizontal="center" vertical="center"/>
      <protection hidden="1"/>
    </xf>
    <xf numFmtId="165" fontId="12" fillId="25" borderId="74" xfId="0" applyNumberFormat="1" applyFont="1" applyFill="1" applyBorder="1" applyAlignment="1" applyProtection="1">
      <alignment horizontal="center" vertical="center"/>
      <protection hidden="1"/>
    </xf>
    <xf numFmtId="0" fontId="12" fillId="25" borderId="28" xfId="0" applyFont="1" applyFill="1" applyBorder="1" applyProtection="1">
      <protection locked="0" hidden="1"/>
    </xf>
    <xf numFmtId="0" fontId="12" fillId="25" borderId="28" xfId="0" applyFont="1" applyFill="1" applyBorder="1" applyAlignment="1" applyProtection="1">
      <alignment horizontal="center"/>
      <protection locked="0" hidden="1"/>
    </xf>
    <xf numFmtId="0" fontId="12" fillId="25" borderId="35" xfId="0" applyFont="1" applyFill="1" applyBorder="1" applyAlignment="1" applyProtection="1">
      <alignment horizontal="center"/>
      <protection locked="0" hidden="1"/>
    </xf>
    <xf numFmtId="0" fontId="12" fillId="25" borderId="35" xfId="0" quotePrefix="1" applyFont="1" applyFill="1" applyBorder="1" applyAlignment="1" applyProtection="1">
      <alignment horizontal="center"/>
      <protection hidden="1"/>
    </xf>
    <xf numFmtId="0" fontId="12" fillId="25" borderId="74" xfId="0" quotePrefix="1" applyFont="1" applyFill="1" applyBorder="1" applyAlignment="1" applyProtection="1">
      <alignment horizontal="center"/>
      <protection hidden="1"/>
    </xf>
    <xf numFmtId="1" fontId="4" fillId="0" borderId="160" xfId="0" applyNumberFormat="1" applyFont="1" applyBorder="1" applyAlignment="1" applyProtection="1">
      <alignment horizontal="center" vertical="center"/>
      <protection locked="0" hidden="1"/>
    </xf>
    <xf numFmtId="1" fontId="4" fillId="0" borderId="98" xfId="0" applyNumberFormat="1" applyFont="1" applyBorder="1" applyAlignment="1" applyProtection="1">
      <alignment horizontal="center" vertical="center"/>
      <protection locked="0" hidden="1"/>
    </xf>
    <xf numFmtId="1" fontId="4" fillId="0" borderId="17" xfId="0" applyNumberFormat="1" applyFont="1" applyBorder="1" applyAlignment="1" applyProtection="1">
      <alignment horizontal="center" vertical="center"/>
      <protection hidden="1"/>
    </xf>
    <xf numFmtId="0" fontId="4" fillId="25" borderId="53" xfId="0" quotePrefix="1" applyFont="1" applyFill="1" applyBorder="1" applyAlignment="1">
      <alignment horizontal="center" vertical="center" wrapText="1"/>
    </xf>
    <xf numFmtId="164" fontId="4" fillId="25" borderId="37" xfId="0" quotePrefix="1" applyNumberFormat="1" applyFont="1" applyFill="1" applyBorder="1" applyAlignment="1" applyProtection="1">
      <alignment horizontal="center" vertical="center"/>
      <protection hidden="1"/>
    </xf>
    <xf numFmtId="164" fontId="4" fillId="0" borderId="54" xfId="0" applyNumberFormat="1" applyFont="1" applyBorder="1" applyAlignment="1" applyProtection="1">
      <alignment horizontal="center" vertical="center"/>
      <protection hidden="1"/>
    </xf>
    <xf numFmtId="1" fontId="4" fillId="0" borderId="90" xfId="0" applyNumberFormat="1" applyFont="1" applyBorder="1" applyAlignment="1" applyProtection="1">
      <alignment horizontal="center" vertical="center"/>
      <protection locked="0" hidden="1"/>
    </xf>
    <xf numFmtId="1" fontId="4" fillId="0" borderId="158" xfId="0" applyNumberFormat="1" applyFont="1" applyBorder="1" applyAlignment="1" applyProtection="1">
      <alignment horizontal="center" vertical="center"/>
      <protection hidden="1"/>
    </xf>
    <xf numFmtId="165" fontId="2" fillId="0" borderId="85" xfId="0" applyNumberFormat="1" applyFont="1" applyBorder="1" applyAlignment="1" applyProtection="1">
      <alignment horizontal="center" vertical="center"/>
      <protection hidden="1"/>
    </xf>
    <xf numFmtId="165" fontId="4" fillId="0" borderId="104" xfId="0" quotePrefix="1" applyNumberFormat="1" applyFont="1" applyBorder="1" applyAlignment="1" applyProtection="1">
      <alignment horizontal="center" vertical="center"/>
      <protection hidden="1"/>
    </xf>
    <xf numFmtId="165" fontId="2" fillId="0" borderId="104" xfId="0" quotePrefix="1" applyNumberFormat="1" applyFont="1" applyBorder="1" applyAlignment="1" applyProtection="1">
      <alignment horizontal="center" vertical="center"/>
      <protection hidden="1"/>
    </xf>
    <xf numFmtId="165" fontId="4" fillId="0" borderId="85" xfId="0" quotePrefix="1" applyNumberFormat="1" applyFont="1" applyBorder="1" applyAlignment="1" applyProtection="1">
      <alignment horizontal="center" vertical="center"/>
      <protection hidden="1"/>
    </xf>
    <xf numFmtId="0" fontId="4" fillId="0" borderId="147" xfId="0" applyFont="1" applyBorder="1" applyAlignment="1" applyProtection="1">
      <alignment horizontal="center" vertical="center"/>
      <protection hidden="1"/>
    </xf>
    <xf numFmtId="1" fontId="4" fillId="25" borderId="28" xfId="0" applyNumberFormat="1" applyFont="1" applyFill="1" applyBorder="1" applyProtection="1">
      <protection locked="0" hidden="1"/>
    </xf>
    <xf numFmtId="1" fontId="4" fillId="25" borderId="37" xfId="0" applyNumberFormat="1" applyFont="1" applyFill="1" applyBorder="1" applyAlignment="1" applyProtection="1">
      <alignment horizontal="center"/>
      <protection locked="0" hidden="1"/>
    </xf>
    <xf numFmtId="1" fontId="4" fillId="25" borderId="28" xfId="0" applyNumberFormat="1" applyFont="1" applyFill="1" applyBorder="1" applyAlignment="1" applyProtection="1">
      <alignment horizontal="center"/>
      <protection locked="0" hidden="1"/>
    </xf>
    <xf numFmtId="1" fontId="4" fillId="25" borderId="35" xfId="0" applyNumberFormat="1" applyFont="1" applyFill="1" applyBorder="1" applyAlignment="1" applyProtection="1">
      <alignment horizontal="center"/>
      <protection hidden="1"/>
    </xf>
    <xf numFmtId="1" fontId="4" fillId="25" borderId="74" xfId="0" applyNumberFormat="1" applyFont="1" applyFill="1" applyBorder="1" applyAlignment="1" applyProtection="1">
      <alignment horizontal="center"/>
      <protection hidden="1"/>
    </xf>
    <xf numFmtId="0" fontId="4" fillId="25" borderId="37" xfId="0" quotePrefix="1" applyFont="1" applyFill="1" applyBorder="1" applyAlignment="1" applyProtection="1">
      <alignment horizontal="center" vertical="center"/>
      <protection locked="0" hidden="1"/>
    </xf>
    <xf numFmtId="1" fontId="4" fillId="25" borderId="37" xfId="0" applyNumberFormat="1" applyFont="1" applyFill="1" applyBorder="1" applyAlignment="1" applyProtection="1">
      <alignment horizontal="center" vertical="center"/>
      <protection locked="0" hidden="1"/>
    </xf>
    <xf numFmtId="1" fontId="4" fillId="25" borderId="50" xfId="0" quotePrefix="1" applyNumberFormat="1" applyFont="1" applyFill="1" applyBorder="1" applyAlignment="1" applyProtection="1">
      <alignment horizontal="center" vertical="center"/>
      <protection locked="0" hidden="1"/>
    </xf>
    <xf numFmtId="1" fontId="4" fillId="25" borderId="46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25" borderId="38" xfId="0" quotePrefix="1" applyFont="1" applyFill="1" applyBorder="1" applyAlignment="1" applyProtection="1">
      <alignment horizontal="center" vertical="center"/>
      <protection locked="0" hidden="1"/>
    </xf>
    <xf numFmtId="0" fontId="2" fillId="0" borderId="122" xfId="0" applyFont="1" applyBorder="1" applyAlignment="1" applyProtection="1">
      <alignment horizontal="center" textRotation="90"/>
      <protection hidden="1"/>
    </xf>
    <xf numFmtId="165" fontId="2" fillId="0" borderId="23" xfId="0" applyNumberFormat="1" applyFont="1" applyBorder="1" applyAlignment="1" applyProtection="1">
      <alignment horizontal="left" vertical="center"/>
      <protection locked="0" hidden="1"/>
    </xf>
    <xf numFmtId="165" fontId="2" fillId="0" borderId="23" xfId="0" applyNumberFormat="1" applyFont="1" applyBorder="1" applyAlignment="1">
      <alignment horizontal="left" vertical="center"/>
    </xf>
    <xf numFmtId="165" fontId="4" fillId="0" borderId="30" xfId="0" applyNumberFormat="1" applyFont="1" applyBorder="1" applyAlignment="1" applyProtection="1">
      <alignment horizontal="center" vertical="center"/>
      <protection hidden="1"/>
    </xf>
    <xf numFmtId="165" fontId="4" fillId="0" borderId="92" xfId="0" applyNumberFormat="1" applyFont="1" applyBorder="1" applyAlignment="1" applyProtection="1">
      <alignment horizontal="center" vertical="center"/>
      <protection hidden="1"/>
    </xf>
    <xf numFmtId="1" fontId="4" fillId="0" borderId="98" xfId="0" applyNumberFormat="1" applyFont="1" applyBorder="1" applyAlignment="1" applyProtection="1">
      <alignment horizontal="center" vertical="center"/>
      <protection hidden="1"/>
    </xf>
    <xf numFmtId="165" fontId="2" fillId="0" borderId="126" xfId="0" applyNumberFormat="1" applyFont="1" applyBorder="1" applyAlignment="1" applyProtection="1">
      <alignment horizontal="center" vertical="center"/>
      <protection hidden="1"/>
    </xf>
    <xf numFmtId="165" fontId="2" fillId="0" borderId="6" xfId="0" applyNumberFormat="1" applyFont="1" applyBorder="1" applyAlignment="1" applyProtection="1">
      <alignment horizontal="center" vertical="center"/>
      <protection hidden="1"/>
    </xf>
    <xf numFmtId="0" fontId="2" fillId="0" borderId="147" xfId="0" applyFont="1" applyBorder="1" applyAlignment="1" applyProtection="1">
      <alignment horizontal="center" textRotation="90" wrapText="1"/>
      <protection hidden="1"/>
    </xf>
    <xf numFmtId="165" fontId="4" fillId="0" borderId="85" xfId="0" applyNumberFormat="1" applyFont="1" applyBorder="1" applyAlignment="1" applyProtection="1">
      <alignment horizontal="center" vertical="center"/>
      <protection hidden="1"/>
    </xf>
    <xf numFmtId="165" fontId="2" fillId="0" borderId="88" xfId="0" quotePrefix="1" applyNumberFormat="1" applyFont="1" applyBorder="1" applyAlignment="1" applyProtection="1">
      <alignment horizontal="center" vertical="center"/>
      <protection hidden="1"/>
    </xf>
    <xf numFmtId="165" fontId="2" fillId="0" borderId="85" xfId="0" quotePrefix="1" applyNumberFormat="1" applyFont="1" applyBorder="1" applyAlignment="1" applyProtection="1">
      <alignment horizontal="center" vertical="center"/>
      <protection hidden="1"/>
    </xf>
    <xf numFmtId="0" fontId="2" fillId="0" borderId="74" xfId="0" quotePrefix="1" applyFont="1" applyBorder="1" applyAlignment="1" applyProtection="1">
      <alignment horizontal="center" vertical="center"/>
      <protection hidden="1"/>
    </xf>
    <xf numFmtId="0" fontId="4" fillId="0" borderId="85" xfId="0" quotePrefix="1" applyFont="1" applyBorder="1" applyAlignment="1" applyProtection="1">
      <alignment horizontal="center" vertical="center"/>
      <protection hidden="1"/>
    </xf>
    <xf numFmtId="0" fontId="4" fillId="0" borderId="102" xfId="0" applyFont="1" applyBorder="1" applyAlignment="1" applyProtection="1">
      <alignment horizontal="center" vertical="center"/>
      <protection hidden="1"/>
    </xf>
    <xf numFmtId="0" fontId="4" fillId="0" borderId="103" xfId="0" applyFont="1" applyBorder="1" applyAlignment="1" applyProtection="1">
      <alignment horizontal="center" vertical="center"/>
      <protection hidden="1"/>
    </xf>
    <xf numFmtId="0" fontId="4" fillId="25" borderId="45" xfId="0" applyFont="1" applyFill="1" applyBorder="1" applyAlignment="1">
      <alignment horizontal="center" vertical="center" wrapText="1"/>
    </xf>
    <xf numFmtId="164" fontId="4" fillId="25" borderId="75" xfId="0" applyNumberFormat="1" applyFont="1" applyFill="1" applyBorder="1" applyAlignment="1" applyProtection="1">
      <alignment horizontal="center" vertical="center"/>
      <protection hidden="1"/>
    </xf>
    <xf numFmtId="0" fontId="4" fillId="25" borderId="42" xfId="0" applyFont="1" applyFill="1" applyBorder="1" applyAlignment="1" applyProtection="1">
      <alignment horizontal="center" vertical="center"/>
      <protection locked="0" hidden="1"/>
    </xf>
    <xf numFmtId="165" fontId="12" fillId="25" borderId="42" xfId="0" applyNumberFormat="1" applyFont="1" applyFill="1" applyBorder="1" applyAlignment="1" applyProtection="1">
      <alignment horizontal="center" vertical="center"/>
      <protection hidden="1"/>
    </xf>
    <xf numFmtId="165" fontId="4" fillId="25" borderId="35" xfId="0" applyNumberFormat="1" applyFont="1" applyFill="1" applyBorder="1" applyAlignment="1" applyProtection="1">
      <alignment horizontal="center" vertical="center"/>
      <protection hidden="1"/>
    </xf>
    <xf numFmtId="0" fontId="5" fillId="25" borderId="28" xfId="0" applyFont="1" applyFill="1" applyBorder="1" applyProtection="1">
      <protection locked="0" hidden="1"/>
    </xf>
    <xf numFmtId="0" fontId="2" fillId="25" borderId="28" xfId="0" applyFont="1" applyFill="1" applyBorder="1" applyAlignment="1" applyProtection="1">
      <alignment horizontal="center"/>
      <protection locked="0" hidden="1"/>
    </xf>
    <xf numFmtId="0" fontId="2" fillId="25" borderId="42" xfId="0" quotePrefix="1" applyFont="1" applyFill="1" applyBorder="1" applyAlignment="1" applyProtection="1">
      <alignment horizontal="center"/>
      <protection hidden="1"/>
    </xf>
    <xf numFmtId="0" fontId="2" fillId="25" borderId="35" xfId="0" quotePrefix="1" applyFont="1" applyFill="1" applyBorder="1" applyAlignment="1" applyProtection="1">
      <alignment horizontal="center"/>
      <protection hidden="1"/>
    </xf>
    <xf numFmtId="0" fontId="4" fillId="25" borderId="35" xfId="0" quotePrefix="1" applyFont="1" applyFill="1" applyBorder="1" applyAlignment="1" applyProtection="1">
      <alignment horizontal="center"/>
      <protection hidden="1"/>
    </xf>
    <xf numFmtId="0" fontId="2" fillId="25" borderId="74" xfId="0" quotePrefix="1" applyFont="1" applyFill="1" applyBorder="1" applyAlignment="1" applyProtection="1">
      <alignment horizontal="center"/>
      <protection hidden="1"/>
    </xf>
    <xf numFmtId="164" fontId="4" fillId="25" borderId="42" xfId="0" applyNumberFormat="1" applyFont="1" applyFill="1" applyBorder="1" applyAlignment="1" applyProtection="1">
      <alignment horizontal="center" vertical="center"/>
      <protection hidden="1"/>
    </xf>
    <xf numFmtId="0" fontId="4" fillId="25" borderId="42" xfId="0" quotePrefix="1" applyFont="1" applyFill="1" applyBorder="1" applyAlignment="1" applyProtection="1">
      <alignment horizontal="center" vertical="center"/>
      <protection hidden="1"/>
    </xf>
    <xf numFmtId="0" fontId="4" fillId="25" borderId="105" xfId="0" quotePrefix="1" applyFont="1" applyFill="1" applyBorder="1" applyAlignment="1" applyProtection="1">
      <alignment horizontal="center" vertical="center"/>
      <protection hidden="1"/>
    </xf>
    <xf numFmtId="0" fontId="4" fillId="25" borderId="106" xfId="0" quotePrefix="1" applyFont="1" applyFill="1" applyBorder="1" applyAlignment="1" applyProtection="1">
      <alignment horizontal="center" vertical="center"/>
      <protection hidden="1"/>
    </xf>
    <xf numFmtId="0" fontId="4" fillId="25" borderId="23" xfId="0" quotePrefix="1" applyFont="1" applyFill="1" applyBorder="1" applyAlignment="1" applyProtection="1">
      <alignment horizontal="center" vertical="center"/>
      <protection locked="0" hidden="1"/>
    </xf>
    <xf numFmtId="0" fontId="4" fillId="25" borderId="107" xfId="0" quotePrefix="1" applyFont="1" applyFill="1" applyBorder="1" applyAlignment="1" applyProtection="1">
      <alignment horizontal="center" vertical="center"/>
      <protection hidden="1"/>
    </xf>
    <xf numFmtId="0" fontId="2" fillId="0" borderId="33" xfId="0" applyFont="1" applyBorder="1" applyAlignment="1" applyProtection="1">
      <alignment horizontal="center" textRotation="90"/>
      <protection hidden="1"/>
    </xf>
    <xf numFmtId="0" fontId="2" fillId="0" borderId="42" xfId="0" applyFont="1" applyBorder="1" applyAlignment="1">
      <alignment horizontal="center" textRotation="90" wrapText="1"/>
    </xf>
    <xf numFmtId="0" fontId="2" fillId="0" borderId="16" xfId="0" applyFont="1" applyBorder="1" applyAlignment="1" applyProtection="1">
      <alignment horizontal="center" textRotation="90" wrapText="1"/>
      <protection hidden="1"/>
    </xf>
    <xf numFmtId="0" fontId="2" fillId="25" borderId="45" xfId="0" applyFont="1" applyFill="1" applyBorder="1" applyAlignment="1">
      <alignment horizontal="center" vertical="center" wrapText="1"/>
    </xf>
    <xf numFmtId="1" fontId="4" fillId="0" borderId="162" xfId="0" applyNumberFormat="1" applyFont="1" applyBorder="1" applyAlignment="1" applyProtection="1">
      <alignment horizontal="center" vertical="center"/>
      <protection hidden="1"/>
    </xf>
    <xf numFmtId="0" fontId="4" fillId="25" borderId="161" xfId="0" quotePrefix="1" applyFont="1" applyFill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textRotation="90"/>
      <protection hidden="1"/>
    </xf>
    <xf numFmtId="0" fontId="2" fillId="0" borderId="32" xfId="0" applyFont="1" applyBorder="1" applyAlignment="1" applyProtection="1">
      <alignment horizontal="center" vertical="center"/>
      <protection hidden="1"/>
    </xf>
    <xf numFmtId="0" fontId="5" fillId="0" borderId="50" xfId="0" applyFont="1" applyBorder="1" applyAlignment="1">
      <alignment horizontal="right" vertical="center"/>
    </xf>
    <xf numFmtId="0" fontId="4" fillId="25" borderId="50" xfId="0" quotePrefix="1" applyFont="1" applyFill="1" applyBorder="1" applyAlignment="1">
      <alignment horizontal="center" vertical="center"/>
    </xf>
    <xf numFmtId="0" fontId="4" fillId="25" borderId="20" xfId="0" quotePrefix="1" applyFont="1" applyFill="1" applyBorder="1" applyAlignment="1">
      <alignment horizontal="center" vertical="center"/>
    </xf>
    <xf numFmtId="0" fontId="4" fillId="26" borderId="50" xfId="0" quotePrefix="1" applyFont="1" applyFill="1" applyBorder="1" applyAlignment="1">
      <alignment horizontal="center" vertical="center"/>
    </xf>
    <xf numFmtId="0" fontId="4" fillId="26" borderId="20" xfId="0" quotePrefix="1" applyFont="1" applyFill="1" applyBorder="1" applyAlignment="1">
      <alignment horizontal="center" vertical="center"/>
    </xf>
    <xf numFmtId="0" fontId="2" fillId="25" borderId="50" xfId="0" quotePrefix="1" applyFont="1" applyFill="1" applyBorder="1" applyAlignment="1">
      <alignment horizontal="center" vertical="center"/>
    </xf>
    <xf numFmtId="0" fontId="2" fillId="25" borderId="20" xfId="0" quotePrefix="1" applyFont="1" applyFill="1" applyBorder="1" applyAlignment="1">
      <alignment horizontal="center" vertical="center"/>
    </xf>
    <xf numFmtId="0" fontId="51" fillId="0" borderId="18" xfId="0" applyFont="1" applyBorder="1"/>
    <xf numFmtId="0" fontId="8" fillId="0" borderId="18" xfId="1540" applyFont="1" applyBorder="1" applyAlignment="1">
      <alignment horizontal="left"/>
    </xf>
    <xf numFmtId="0" fontId="8" fillId="0" borderId="18" xfId="0" applyFont="1" applyBorder="1"/>
    <xf numFmtId="0" fontId="8" fillId="0" borderId="18" xfId="1540" applyFont="1" applyBorder="1"/>
    <xf numFmtId="0" fontId="51" fillId="0" borderId="32" xfId="0" applyFont="1" applyBorder="1"/>
    <xf numFmtId="0" fontId="51" fillId="0" borderId="18" xfId="0" applyFont="1" applyBorder="1" applyAlignment="1">
      <alignment horizontal="left"/>
    </xf>
    <xf numFmtId="0" fontId="51" fillId="0" borderId="17" xfId="0" applyFont="1" applyBorder="1"/>
    <xf numFmtId="0" fontId="8" fillId="0" borderId="17" xfId="0" applyFont="1" applyBorder="1"/>
    <xf numFmtId="0" fontId="5" fillId="0" borderId="69" xfId="0" applyFont="1" applyBorder="1" applyAlignment="1" applyProtection="1">
      <alignment horizontal="center" vertical="center"/>
      <protection hidden="1"/>
    </xf>
    <xf numFmtId="0" fontId="5" fillId="0" borderId="69" xfId="0" applyFont="1" applyBorder="1" applyAlignment="1" applyProtection="1">
      <alignment horizontal="center" vertical="center" wrapText="1"/>
      <protection hidden="1"/>
    </xf>
    <xf numFmtId="0" fontId="5" fillId="0" borderId="140" xfId="0" applyFont="1" applyBorder="1" applyAlignment="1" applyProtection="1">
      <alignment horizontal="center" vertical="center" wrapText="1"/>
      <protection hidden="1"/>
    </xf>
    <xf numFmtId="0" fontId="2" fillId="0" borderId="112" xfId="0" applyFont="1" applyBorder="1" applyAlignment="1" applyProtection="1">
      <alignment horizontal="center"/>
      <protection locked="0" hidden="1"/>
    </xf>
    <xf numFmtId="0" fontId="2" fillId="0" borderId="41" xfId="0" applyFont="1" applyBorder="1" applyAlignment="1" applyProtection="1">
      <alignment horizontal="center"/>
      <protection locked="0" hidden="1"/>
    </xf>
    <xf numFmtId="0" fontId="2" fillId="0" borderId="136" xfId="0" applyFont="1" applyBorder="1" applyAlignment="1" applyProtection="1">
      <alignment horizontal="center"/>
      <protection locked="0" hidden="1"/>
    </xf>
    <xf numFmtId="0" fontId="4" fillId="0" borderId="112" xfId="0" applyFont="1" applyBorder="1" applyAlignment="1" applyProtection="1">
      <alignment horizontal="center"/>
      <protection locked="0" hidden="1"/>
    </xf>
    <xf numFmtId="0" fontId="4" fillId="0" borderId="41" xfId="0" applyFont="1" applyBorder="1" applyAlignment="1" applyProtection="1">
      <alignment horizontal="center"/>
      <protection locked="0" hidden="1"/>
    </xf>
    <xf numFmtId="1" fontId="5" fillId="0" borderId="31" xfId="0" applyNumberFormat="1" applyFont="1" applyBorder="1" applyAlignment="1" applyProtection="1">
      <alignment horizontal="right" vertical="center"/>
      <protection hidden="1"/>
    </xf>
    <xf numFmtId="1" fontId="5" fillId="0" borderId="74" xfId="0" applyNumberFormat="1" applyFont="1" applyBorder="1" applyAlignment="1" applyProtection="1">
      <alignment horizontal="right" vertical="center"/>
      <protection hidden="1"/>
    </xf>
    <xf numFmtId="0" fontId="9" fillId="0" borderId="129" xfId="0" applyFont="1" applyBorder="1" applyAlignment="1" applyProtection="1">
      <alignment horizontal="center"/>
      <protection hidden="1"/>
    </xf>
    <xf numFmtId="0" fontId="9" fillId="0" borderId="69" xfId="0" applyFont="1" applyBorder="1" applyAlignment="1" applyProtection="1">
      <alignment horizontal="center"/>
      <protection hidden="1"/>
    </xf>
    <xf numFmtId="0" fontId="9" fillId="0" borderId="140" xfId="0" applyFont="1" applyBorder="1" applyAlignment="1" applyProtection="1">
      <alignment horizontal="center"/>
      <protection hidden="1"/>
    </xf>
    <xf numFmtId="0" fontId="9" fillId="0" borderId="130" xfId="0" applyFont="1" applyBorder="1" applyAlignment="1" applyProtection="1">
      <alignment horizontal="center"/>
      <protection hidden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textRotation="90"/>
    </xf>
    <xf numFmtId="0" fontId="2" fillId="0" borderId="25" xfId="0" applyFont="1" applyFill="1" applyBorder="1" applyAlignment="1" applyProtection="1">
      <alignment horizontal="center" textRotation="90"/>
      <protection hidden="1"/>
    </xf>
  </cellXfs>
  <cellStyles count="2740">
    <cellStyle name="20% - Accent1 2" xfId="1" xr:uid="{00000000-0005-0000-0000-000000000000}"/>
    <cellStyle name="20% - Accent1 2 10" xfId="2" xr:uid="{00000000-0005-0000-0000-000001000000}"/>
    <cellStyle name="20% - Accent1 2 10 2" xfId="1996" xr:uid="{11580987-0C18-45C2-9A88-471C0442ACAF}"/>
    <cellStyle name="20% - Accent1 2 11" xfId="3" xr:uid="{00000000-0005-0000-0000-000002000000}"/>
    <cellStyle name="20% - Accent1 2 11 2" xfId="1997" xr:uid="{7FF3832D-E0D1-47E3-9278-C26266F794BE}"/>
    <cellStyle name="20% - Accent1 2 12" xfId="4" xr:uid="{00000000-0005-0000-0000-000003000000}"/>
    <cellStyle name="20% - Accent1 2 12 2" xfId="1998" xr:uid="{59378D1E-0F1D-46A7-91CE-6ABD5445F9A4}"/>
    <cellStyle name="20% - Accent1 2 13" xfId="5" xr:uid="{00000000-0005-0000-0000-000004000000}"/>
    <cellStyle name="20% - Accent1 2 13 2" xfId="1999" xr:uid="{09173D87-FA5F-4F49-A6E8-7E3490D74FA3}"/>
    <cellStyle name="20% - Accent1 2 14" xfId="6" xr:uid="{00000000-0005-0000-0000-000005000000}"/>
    <cellStyle name="20% - Accent1 2 14 2" xfId="2000" xr:uid="{21BE6826-E31A-42AB-B45D-D2CB46D8B89C}"/>
    <cellStyle name="20% - Accent1 2 15" xfId="7" xr:uid="{00000000-0005-0000-0000-000006000000}"/>
    <cellStyle name="20% - Accent1 2 15 2" xfId="2001" xr:uid="{971E7530-B18D-4F6A-84FE-855D23B7618D}"/>
    <cellStyle name="20% - Accent1 2 16" xfId="8" xr:uid="{00000000-0005-0000-0000-000007000000}"/>
    <cellStyle name="20% - Accent1 2 16 2" xfId="2002" xr:uid="{7D334BCA-4629-4DBB-B9E7-0A607BC48C18}"/>
    <cellStyle name="20% - Accent1 2 17" xfId="9" xr:uid="{00000000-0005-0000-0000-000008000000}"/>
    <cellStyle name="20% - Accent1 2 17 2" xfId="2003" xr:uid="{6CC1D011-ABC4-4B27-A6BB-EA5ACD8985B5}"/>
    <cellStyle name="20% - Accent1 2 18" xfId="10" xr:uid="{00000000-0005-0000-0000-000009000000}"/>
    <cellStyle name="20% - Accent1 2 18 2" xfId="2004" xr:uid="{E5D09C31-7C66-4283-A12C-12720A8C70E5}"/>
    <cellStyle name="20% - Accent1 2 19" xfId="11" xr:uid="{00000000-0005-0000-0000-00000A000000}"/>
    <cellStyle name="20% - Accent1 2 19 2" xfId="2005" xr:uid="{39A3A43C-4323-4D04-9174-C2512D83F854}"/>
    <cellStyle name="20% - Accent1 2 2" xfId="12" xr:uid="{00000000-0005-0000-0000-00000B000000}"/>
    <cellStyle name="20% - Accent1 2 2 2" xfId="2006" xr:uid="{47D6C43E-F5E7-46D9-BD78-891141226EC0}"/>
    <cellStyle name="20% - Accent1 2 20" xfId="13" xr:uid="{00000000-0005-0000-0000-00000C000000}"/>
    <cellStyle name="20% - Accent1 2 20 2" xfId="2007" xr:uid="{99CE1620-4C7F-4880-B163-3B1A024D5955}"/>
    <cellStyle name="20% - Accent1 2 21" xfId="14" xr:uid="{00000000-0005-0000-0000-00000D000000}"/>
    <cellStyle name="20% - Accent1 2 21 2" xfId="2008" xr:uid="{C0A5E293-5055-4084-B76A-8EC3A6ED7895}"/>
    <cellStyle name="20% - Accent1 2 22" xfId="15" xr:uid="{00000000-0005-0000-0000-00000E000000}"/>
    <cellStyle name="20% - Accent1 2 22 2" xfId="2009" xr:uid="{57D9FB5C-57AC-457A-96DE-E2617EC870E7}"/>
    <cellStyle name="20% - Accent1 2 23" xfId="16" xr:uid="{00000000-0005-0000-0000-00000F000000}"/>
    <cellStyle name="20% - Accent1 2 23 2" xfId="2010" xr:uid="{C37F0113-ABA0-4EBE-9E31-483F6B7EB81B}"/>
    <cellStyle name="20% - Accent1 2 24" xfId="17" xr:uid="{00000000-0005-0000-0000-000010000000}"/>
    <cellStyle name="20% - Accent1 2 24 2" xfId="2011" xr:uid="{55A0CDA6-C28D-47F1-8408-7CB13898BA9B}"/>
    <cellStyle name="20% - Accent1 2 25" xfId="18" xr:uid="{00000000-0005-0000-0000-000011000000}"/>
    <cellStyle name="20% - Accent1 2 25 2" xfId="2012" xr:uid="{C220B236-2D74-4434-87D4-956E36D2CAD1}"/>
    <cellStyle name="20% - Accent1 2 26" xfId="19" xr:uid="{00000000-0005-0000-0000-000012000000}"/>
    <cellStyle name="20% - Accent1 2 26 2" xfId="2013" xr:uid="{FC61F449-FD5B-460F-970E-47350B2F8579}"/>
    <cellStyle name="20% - Accent1 2 27" xfId="20" xr:uid="{00000000-0005-0000-0000-000013000000}"/>
    <cellStyle name="20% - Accent1 2 27 2" xfId="2014" xr:uid="{A1ACE3AC-3D04-47E7-86E6-BF330D41D797}"/>
    <cellStyle name="20% - Accent1 2 28" xfId="21" xr:uid="{00000000-0005-0000-0000-000014000000}"/>
    <cellStyle name="20% - Accent1 2 28 2" xfId="2015" xr:uid="{AA060E11-8B3E-4092-95A5-24C49D254048}"/>
    <cellStyle name="20% - Accent1 2 29" xfId="22" xr:uid="{00000000-0005-0000-0000-000015000000}"/>
    <cellStyle name="20% - Accent1 2 29 2" xfId="2016" xr:uid="{D2062B58-7F81-45FB-8394-25CD0EAD75C6}"/>
    <cellStyle name="20% - Accent1 2 3" xfId="23" xr:uid="{00000000-0005-0000-0000-000016000000}"/>
    <cellStyle name="20% - Accent1 2 3 2" xfId="2017" xr:uid="{EC0E46D0-719E-4970-BB76-13D537B68F73}"/>
    <cellStyle name="20% - Accent1 2 30" xfId="24" xr:uid="{00000000-0005-0000-0000-000017000000}"/>
    <cellStyle name="20% - Accent1 2 30 2" xfId="2018" xr:uid="{8EE68844-9EB3-4968-AECF-35C24FD8FE36}"/>
    <cellStyle name="20% - Accent1 2 31" xfId="25" xr:uid="{00000000-0005-0000-0000-000018000000}"/>
    <cellStyle name="20% - Accent1 2 31 2" xfId="2019" xr:uid="{449EC891-B8E3-435D-AFA5-E5EE8760B0F0}"/>
    <cellStyle name="20% - Accent1 2 32" xfId="26" xr:uid="{00000000-0005-0000-0000-000019000000}"/>
    <cellStyle name="20% - Accent1 2 32 2" xfId="2020" xr:uid="{9080716B-F589-4112-992B-85A5E8CFF011}"/>
    <cellStyle name="20% - Accent1 2 33" xfId="27" xr:uid="{00000000-0005-0000-0000-00001A000000}"/>
    <cellStyle name="20% - Accent1 2 33 2" xfId="2021" xr:uid="{346F000C-5899-4F43-AC2D-AAB85DF0C2C7}"/>
    <cellStyle name="20% - Accent1 2 34" xfId="28" xr:uid="{00000000-0005-0000-0000-00001B000000}"/>
    <cellStyle name="20% - Accent1 2 34 2" xfId="2022" xr:uid="{11F4BEBF-8A45-4F8E-93F8-09DC99D46A11}"/>
    <cellStyle name="20% - Accent1 2 35" xfId="29" xr:uid="{00000000-0005-0000-0000-00001C000000}"/>
    <cellStyle name="20% - Accent1 2 35 2" xfId="2023" xr:uid="{F4CC1663-AE9F-4634-B448-28711BCFE44C}"/>
    <cellStyle name="20% - Accent1 2 36" xfId="30" xr:uid="{00000000-0005-0000-0000-00001D000000}"/>
    <cellStyle name="20% - Accent1 2 36 2" xfId="2024" xr:uid="{A6F00945-DB65-48D4-95E9-DE08D95968BC}"/>
    <cellStyle name="20% - Accent1 2 37" xfId="31" xr:uid="{00000000-0005-0000-0000-00001E000000}"/>
    <cellStyle name="20% - Accent1 2 37 2" xfId="2025" xr:uid="{0312BD3C-0EA4-486D-A124-81CF524CEB6D}"/>
    <cellStyle name="20% - Accent1 2 38" xfId="32" xr:uid="{00000000-0005-0000-0000-00001F000000}"/>
    <cellStyle name="20% - Accent1 2 38 2" xfId="2026" xr:uid="{8EDE1DB4-1E77-4B8B-A3A7-9F62E49B2117}"/>
    <cellStyle name="20% - Accent1 2 39" xfId="33" xr:uid="{00000000-0005-0000-0000-000020000000}"/>
    <cellStyle name="20% - Accent1 2 39 2" xfId="2027" xr:uid="{74526FEC-C23D-45FF-963F-E20E3BD196DA}"/>
    <cellStyle name="20% - Accent1 2 4" xfId="34" xr:uid="{00000000-0005-0000-0000-000021000000}"/>
    <cellStyle name="20% - Accent1 2 4 2" xfId="2028" xr:uid="{14C17EF7-4D50-4F66-AFAF-EC83A98CB234}"/>
    <cellStyle name="20% - Accent1 2 40" xfId="35" xr:uid="{00000000-0005-0000-0000-000022000000}"/>
    <cellStyle name="20% - Accent1 2 40 2" xfId="2029" xr:uid="{6647CED8-926B-467C-976C-49CF7945995B}"/>
    <cellStyle name="20% - Accent1 2 41" xfId="36" xr:uid="{00000000-0005-0000-0000-000023000000}"/>
    <cellStyle name="20% - Accent1 2 41 2" xfId="2030" xr:uid="{47E6F60D-AFDA-4512-9AA7-D3004C040801}"/>
    <cellStyle name="20% - Accent1 2 42" xfId="37" xr:uid="{00000000-0005-0000-0000-000024000000}"/>
    <cellStyle name="20% - Accent1 2 42 2" xfId="2031" xr:uid="{F8EFCCC8-A402-4B6A-86E2-A8B792DD6CD1}"/>
    <cellStyle name="20% - Accent1 2 43" xfId="38" xr:uid="{00000000-0005-0000-0000-000025000000}"/>
    <cellStyle name="20% - Accent1 2 43 2" xfId="2032" xr:uid="{EB0459C0-16C3-480E-9238-44F0BD4804AE}"/>
    <cellStyle name="20% - Accent1 2 44" xfId="39" xr:uid="{00000000-0005-0000-0000-000026000000}"/>
    <cellStyle name="20% - Accent1 2 44 2" xfId="2033" xr:uid="{DFAE42AB-0C8F-4BF5-9E21-15E6B4BC3F5B}"/>
    <cellStyle name="20% - Accent1 2 45" xfId="40" xr:uid="{00000000-0005-0000-0000-000027000000}"/>
    <cellStyle name="20% - Accent1 2 45 2" xfId="2034" xr:uid="{C60D218D-FDAA-4CC9-A9EA-402641A9667D}"/>
    <cellStyle name="20% - Accent1 2 46" xfId="41" xr:uid="{00000000-0005-0000-0000-000028000000}"/>
    <cellStyle name="20% - Accent1 2 46 2" xfId="2035" xr:uid="{06DF1C3F-D184-4F18-BF97-F963D3859FEE}"/>
    <cellStyle name="20% - Accent1 2 47" xfId="42" xr:uid="{00000000-0005-0000-0000-000029000000}"/>
    <cellStyle name="20% - Accent1 2 47 2" xfId="2036" xr:uid="{75BFBF78-74F1-4501-9EA2-855972677721}"/>
    <cellStyle name="20% - Accent1 2 48" xfId="43" xr:uid="{00000000-0005-0000-0000-00002A000000}"/>
    <cellStyle name="20% - Accent1 2 48 2" xfId="2037" xr:uid="{4D146D7D-6A94-47BD-9056-3244DD24EB42}"/>
    <cellStyle name="20% - Accent1 2 49" xfId="44" xr:uid="{00000000-0005-0000-0000-00002B000000}"/>
    <cellStyle name="20% - Accent1 2 49 2" xfId="2038" xr:uid="{64023DD2-834B-4F2B-A520-1919ED077F20}"/>
    <cellStyle name="20% - Accent1 2 5" xfId="45" xr:uid="{00000000-0005-0000-0000-00002C000000}"/>
    <cellStyle name="20% - Accent1 2 5 2" xfId="2039" xr:uid="{9CEBAF9D-0BA3-4029-B80B-AF6182E47389}"/>
    <cellStyle name="20% - Accent1 2 50" xfId="1995" xr:uid="{AE033F7A-168F-412A-9D38-598AB6D3CD6A}"/>
    <cellStyle name="20% - Accent1 2 6" xfId="46" xr:uid="{00000000-0005-0000-0000-00002D000000}"/>
    <cellStyle name="20% - Accent1 2 6 2" xfId="2040" xr:uid="{30ECFDCA-BE1C-46FC-B5EA-23378F2E1824}"/>
    <cellStyle name="20% - Accent1 2 7" xfId="47" xr:uid="{00000000-0005-0000-0000-00002E000000}"/>
    <cellStyle name="20% - Accent1 2 7 2" xfId="2041" xr:uid="{9B280324-8EEF-40D9-92AB-062A82191F88}"/>
    <cellStyle name="20% - Accent1 2 8" xfId="48" xr:uid="{00000000-0005-0000-0000-00002F000000}"/>
    <cellStyle name="20% - Accent1 2 8 2" xfId="2042" xr:uid="{933CB2BC-6658-4AF4-B5AD-A6075EB6D77F}"/>
    <cellStyle name="20% - Accent1 2 9" xfId="49" xr:uid="{00000000-0005-0000-0000-000030000000}"/>
    <cellStyle name="20% - Accent1 2 9 2" xfId="2043" xr:uid="{06562CDF-2E73-4286-ADE1-D27F17C2B1ED}"/>
    <cellStyle name="20% - Accent2 2" xfId="50" xr:uid="{00000000-0005-0000-0000-000031000000}"/>
    <cellStyle name="20% - Accent2 2 10" xfId="51" xr:uid="{00000000-0005-0000-0000-000032000000}"/>
    <cellStyle name="20% - Accent2 2 10 2" xfId="2045" xr:uid="{0EA09E2B-AAE1-4F45-98DB-C6D1E291CA4F}"/>
    <cellStyle name="20% - Accent2 2 11" xfId="52" xr:uid="{00000000-0005-0000-0000-000033000000}"/>
    <cellStyle name="20% - Accent2 2 11 2" xfId="2046" xr:uid="{BF72AE54-16BD-45D5-BBE3-6DD44BA5DE83}"/>
    <cellStyle name="20% - Accent2 2 12" xfId="53" xr:uid="{00000000-0005-0000-0000-000034000000}"/>
    <cellStyle name="20% - Accent2 2 12 2" xfId="2047" xr:uid="{3E718A5D-7786-4849-B522-E97B65D37C86}"/>
    <cellStyle name="20% - Accent2 2 13" xfId="54" xr:uid="{00000000-0005-0000-0000-000035000000}"/>
    <cellStyle name="20% - Accent2 2 13 2" xfId="2048" xr:uid="{BAB9E3FD-71CE-49C9-9B23-76C247CB80DB}"/>
    <cellStyle name="20% - Accent2 2 14" xfId="55" xr:uid="{00000000-0005-0000-0000-000036000000}"/>
    <cellStyle name="20% - Accent2 2 14 2" xfId="2049" xr:uid="{B3A3606A-56F2-48C3-A33C-BEC612196759}"/>
    <cellStyle name="20% - Accent2 2 15" xfId="56" xr:uid="{00000000-0005-0000-0000-000037000000}"/>
    <cellStyle name="20% - Accent2 2 15 2" xfId="2050" xr:uid="{C878A4E8-432A-4D17-8449-85EC3D586015}"/>
    <cellStyle name="20% - Accent2 2 16" xfId="57" xr:uid="{00000000-0005-0000-0000-000038000000}"/>
    <cellStyle name="20% - Accent2 2 16 2" xfId="2051" xr:uid="{52E61969-7FD5-4E36-AA8C-50F30CFA308F}"/>
    <cellStyle name="20% - Accent2 2 17" xfId="58" xr:uid="{00000000-0005-0000-0000-000039000000}"/>
    <cellStyle name="20% - Accent2 2 17 2" xfId="2052" xr:uid="{46E0C009-2EAD-4431-8732-B2D24B7F1FC1}"/>
    <cellStyle name="20% - Accent2 2 18" xfId="59" xr:uid="{00000000-0005-0000-0000-00003A000000}"/>
    <cellStyle name="20% - Accent2 2 18 2" xfId="2053" xr:uid="{7FDFAE7D-D6D8-424C-9312-5538280D859A}"/>
    <cellStyle name="20% - Accent2 2 19" xfId="60" xr:uid="{00000000-0005-0000-0000-00003B000000}"/>
    <cellStyle name="20% - Accent2 2 19 2" xfId="2054" xr:uid="{E4E8E33B-1E48-4C11-9CF2-2D9158BD802F}"/>
    <cellStyle name="20% - Accent2 2 2" xfId="61" xr:uid="{00000000-0005-0000-0000-00003C000000}"/>
    <cellStyle name="20% - Accent2 2 2 2" xfId="2055" xr:uid="{5F38573E-20C1-4160-9A9A-DC159C5E35B0}"/>
    <cellStyle name="20% - Accent2 2 20" xfId="62" xr:uid="{00000000-0005-0000-0000-00003D000000}"/>
    <cellStyle name="20% - Accent2 2 20 2" xfId="2056" xr:uid="{C58AA08F-0F50-400D-8E7C-9D795AA1C3B8}"/>
    <cellStyle name="20% - Accent2 2 21" xfId="63" xr:uid="{00000000-0005-0000-0000-00003E000000}"/>
    <cellStyle name="20% - Accent2 2 21 2" xfId="2057" xr:uid="{7B933971-E215-44C7-83F1-30A6B72B99CC}"/>
    <cellStyle name="20% - Accent2 2 22" xfId="64" xr:uid="{00000000-0005-0000-0000-00003F000000}"/>
    <cellStyle name="20% - Accent2 2 22 2" xfId="2058" xr:uid="{0F076718-CB08-488C-9E70-9CC227259206}"/>
    <cellStyle name="20% - Accent2 2 23" xfId="65" xr:uid="{00000000-0005-0000-0000-000040000000}"/>
    <cellStyle name="20% - Accent2 2 23 2" xfId="2059" xr:uid="{9A100BCE-4123-4F62-96AD-DE66F9F9FC53}"/>
    <cellStyle name="20% - Accent2 2 24" xfId="66" xr:uid="{00000000-0005-0000-0000-000041000000}"/>
    <cellStyle name="20% - Accent2 2 24 2" xfId="2060" xr:uid="{64523DB8-FD29-42F1-A276-4DB295E6DBEB}"/>
    <cellStyle name="20% - Accent2 2 25" xfId="67" xr:uid="{00000000-0005-0000-0000-000042000000}"/>
    <cellStyle name="20% - Accent2 2 25 2" xfId="2061" xr:uid="{F003502E-2C15-498A-B2D2-3A42A1104A16}"/>
    <cellStyle name="20% - Accent2 2 26" xfId="68" xr:uid="{00000000-0005-0000-0000-000043000000}"/>
    <cellStyle name="20% - Accent2 2 26 2" xfId="2062" xr:uid="{6DF4E388-6381-4AAC-8664-3E043AE6CD75}"/>
    <cellStyle name="20% - Accent2 2 27" xfId="69" xr:uid="{00000000-0005-0000-0000-000044000000}"/>
    <cellStyle name="20% - Accent2 2 27 2" xfId="2063" xr:uid="{FE43A454-B73D-4F15-89BB-51A8F1B0DDA0}"/>
    <cellStyle name="20% - Accent2 2 28" xfId="70" xr:uid="{00000000-0005-0000-0000-000045000000}"/>
    <cellStyle name="20% - Accent2 2 28 2" xfId="2064" xr:uid="{8FC146CD-5CCA-48D4-B6B2-456D39DE4776}"/>
    <cellStyle name="20% - Accent2 2 29" xfId="71" xr:uid="{00000000-0005-0000-0000-000046000000}"/>
    <cellStyle name="20% - Accent2 2 29 2" xfId="2065" xr:uid="{6AF7167C-24FB-47A4-B24A-B25068F54D2A}"/>
    <cellStyle name="20% - Accent2 2 3" xfId="72" xr:uid="{00000000-0005-0000-0000-000047000000}"/>
    <cellStyle name="20% - Accent2 2 3 2" xfId="2066" xr:uid="{756D9C3A-DF4E-4F59-B780-3576915196D7}"/>
    <cellStyle name="20% - Accent2 2 30" xfId="73" xr:uid="{00000000-0005-0000-0000-000048000000}"/>
    <cellStyle name="20% - Accent2 2 30 2" xfId="2067" xr:uid="{C6C90EF8-BE57-4B5A-BD90-FF0998B53043}"/>
    <cellStyle name="20% - Accent2 2 31" xfId="74" xr:uid="{00000000-0005-0000-0000-000049000000}"/>
    <cellStyle name="20% - Accent2 2 31 2" xfId="2068" xr:uid="{21255782-AB20-41A1-BE17-42A815E50FB0}"/>
    <cellStyle name="20% - Accent2 2 32" xfId="75" xr:uid="{00000000-0005-0000-0000-00004A000000}"/>
    <cellStyle name="20% - Accent2 2 32 2" xfId="2069" xr:uid="{40E49D51-3A66-4F44-B00F-9D5A52492415}"/>
    <cellStyle name="20% - Accent2 2 33" xfId="76" xr:uid="{00000000-0005-0000-0000-00004B000000}"/>
    <cellStyle name="20% - Accent2 2 33 2" xfId="2070" xr:uid="{84C5C87F-CE49-4D55-A939-D38218119BCB}"/>
    <cellStyle name="20% - Accent2 2 34" xfId="77" xr:uid="{00000000-0005-0000-0000-00004C000000}"/>
    <cellStyle name="20% - Accent2 2 34 2" xfId="2071" xr:uid="{4392BF6F-FBE0-4D9C-B6BF-9AA10726783B}"/>
    <cellStyle name="20% - Accent2 2 35" xfId="78" xr:uid="{00000000-0005-0000-0000-00004D000000}"/>
    <cellStyle name="20% - Accent2 2 35 2" xfId="2072" xr:uid="{2EB37930-B598-4C42-AB06-9B1935C13F6E}"/>
    <cellStyle name="20% - Accent2 2 36" xfId="79" xr:uid="{00000000-0005-0000-0000-00004E000000}"/>
    <cellStyle name="20% - Accent2 2 36 2" xfId="2073" xr:uid="{077AD866-D33A-4B3B-8D26-27E2FC6F70B5}"/>
    <cellStyle name="20% - Accent2 2 37" xfId="80" xr:uid="{00000000-0005-0000-0000-00004F000000}"/>
    <cellStyle name="20% - Accent2 2 37 2" xfId="2074" xr:uid="{604EF13A-8518-4386-85F2-76397B3BE28B}"/>
    <cellStyle name="20% - Accent2 2 38" xfId="81" xr:uid="{00000000-0005-0000-0000-000050000000}"/>
    <cellStyle name="20% - Accent2 2 38 2" xfId="2075" xr:uid="{8EB6E906-322C-4DFF-9E52-3B2351F04C64}"/>
    <cellStyle name="20% - Accent2 2 39" xfId="82" xr:uid="{00000000-0005-0000-0000-000051000000}"/>
    <cellStyle name="20% - Accent2 2 39 2" xfId="2076" xr:uid="{2E0AE3EB-114C-42DE-90F8-BFB1FD2263A2}"/>
    <cellStyle name="20% - Accent2 2 4" xfId="83" xr:uid="{00000000-0005-0000-0000-000052000000}"/>
    <cellStyle name="20% - Accent2 2 4 2" xfId="2077" xr:uid="{F263DF37-9810-4E23-AB9A-22BC0F8CFF17}"/>
    <cellStyle name="20% - Accent2 2 40" xfId="84" xr:uid="{00000000-0005-0000-0000-000053000000}"/>
    <cellStyle name="20% - Accent2 2 40 2" xfId="2078" xr:uid="{13C65406-FB03-4C3B-A273-0B3DB4F5929C}"/>
    <cellStyle name="20% - Accent2 2 41" xfId="85" xr:uid="{00000000-0005-0000-0000-000054000000}"/>
    <cellStyle name="20% - Accent2 2 41 2" xfId="2079" xr:uid="{F8089961-761C-4C22-8434-14C478535918}"/>
    <cellStyle name="20% - Accent2 2 42" xfId="86" xr:uid="{00000000-0005-0000-0000-000055000000}"/>
    <cellStyle name="20% - Accent2 2 42 2" xfId="2080" xr:uid="{F358BEE8-B252-488D-B867-5A52A357D183}"/>
    <cellStyle name="20% - Accent2 2 43" xfId="87" xr:uid="{00000000-0005-0000-0000-000056000000}"/>
    <cellStyle name="20% - Accent2 2 43 2" xfId="2081" xr:uid="{669E5645-98BC-40B4-96E1-0FD67D158D5C}"/>
    <cellStyle name="20% - Accent2 2 44" xfId="88" xr:uid="{00000000-0005-0000-0000-000057000000}"/>
    <cellStyle name="20% - Accent2 2 44 2" xfId="2082" xr:uid="{93CF5419-1833-4A47-BC82-8B0FB383868C}"/>
    <cellStyle name="20% - Accent2 2 45" xfId="89" xr:uid="{00000000-0005-0000-0000-000058000000}"/>
    <cellStyle name="20% - Accent2 2 45 2" xfId="2083" xr:uid="{A485BF7D-0454-4C67-8679-E058F361C585}"/>
    <cellStyle name="20% - Accent2 2 46" xfId="90" xr:uid="{00000000-0005-0000-0000-000059000000}"/>
    <cellStyle name="20% - Accent2 2 46 2" xfId="2084" xr:uid="{D0D800B5-AFAB-4936-94F8-CA3551EC83F1}"/>
    <cellStyle name="20% - Accent2 2 47" xfId="91" xr:uid="{00000000-0005-0000-0000-00005A000000}"/>
    <cellStyle name="20% - Accent2 2 47 2" xfId="2085" xr:uid="{38EE06A9-CC77-45B1-9A3F-FFC1301885B9}"/>
    <cellStyle name="20% - Accent2 2 48" xfId="92" xr:uid="{00000000-0005-0000-0000-00005B000000}"/>
    <cellStyle name="20% - Accent2 2 48 2" xfId="2086" xr:uid="{AC3FE7D9-0431-43FE-B939-0BA3DF154BEC}"/>
    <cellStyle name="20% - Accent2 2 49" xfId="93" xr:uid="{00000000-0005-0000-0000-00005C000000}"/>
    <cellStyle name="20% - Accent2 2 49 2" xfId="2087" xr:uid="{C55E8EA2-4BB9-4C1D-950E-D20B0FC3F404}"/>
    <cellStyle name="20% - Accent2 2 5" xfId="94" xr:uid="{00000000-0005-0000-0000-00005D000000}"/>
    <cellStyle name="20% - Accent2 2 5 2" xfId="2088" xr:uid="{E82B2476-9DD8-456C-BCF2-81562BA6B46A}"/>
    <cellStyle name="20% - Accent2 2 50" xfId="2044" xr:uid="{9B872B58-9F84-4AB0-822C-5BDC867ACBA5}"/>
    <cellStyle name="20% - Accent2 2 6" xfId="95" xr:uid="{00000000-0005-0000-0000-00005E000000}"/>
    <cellStyle name="20% - Accent2 2 6 2" xfId="2089" xr:uid="{8C1B9B6E-4F82-48D4-A670-32D24A16D651}"/>
    <cellStyle name="20% - Accent2 2 7" xfId="96" xr:uid="{00000000-0005-0000-0000-00005F000000}"/>
    <cellStyle name="20% - Accent2 2 7 2" xfId="2090" xr:uid="{BB999D35-78F1-42EC-9853-B84924F1EC0A}"/>
    <cellStyle name="20% - Accent2 2 8" xfId="97" xr:uid="{00000000-0005-0000-0000-000060000000}"/>
    <cellStyle name="20% - Accent2 2 8 2" xfId="2091" xr:uid="{92E8E6EF-7722-470E-9E1C-DA103E94A26E}"/>
    <cellStyle name="20% - Accent2 2 9" xfId="98" xr:uid="{00000000-0005-0000-0000-000061000000}"/>
    <cellStyle name="20% - Accent2 2 9 2" xfId="2092" xr:uid="{1E1BF4FD-3D09-4A45-9CCC-8372017BC8BB}"/>
    <cellStyle name="20% - Accent3 2" xfId="99" xr:uid="{00000000-0005-0000-0000-000062000000}"/>
    <cellStyle name="20% - Accent3 2 10" xfId="100" xr:uid="{00000000-0005-0000-0000-000063000000}"/>
    <cellStyle name="20% - Accent3 2 10 2" xfId="2094" xr:uid="{7921D2B6-6E66-4481-8837-8BE30C05292D}"/>
    <cellStyle name="20% - Accent3 2 11" xfId="101" xr:uid="{00000000-0005-0000-0000-000064000000}"/>
    <cellStyle name="20% - Accent3 2 11 2" xfId="2095" xr:uid="{0E5D2C27-44A9-424F-A0A8-D20FFA16D741}"/>
    <cellStyle name="20% - Accent3 2 12" xfId="102" xr:uid="{00000000-0005-0000-0000-000065000000}"/>
    <cellStyle name="20% - Accent3 2 12 2" xfId="2096" xr:uid="{756CBB2E-2068-4107-8FDD-6B29566342F8}"/>
    <cellStyle name="20% - Accent3 2 13" xfId="103" xr:uid="{00000000-0005-0000-0000-000066000000}"/>
    <cellStyle name="20% - Accent3 2 13 2" xfId="2097" xr:uid="{472DE004-E517-44A1-8C00-4E6549D435EF}"/>
    <cellStyle name="20% - Accent3 2 14" xfId="104" xr:uid="{00000000-0005-0000-0000-000067000000}"/>
    <cellStyle name="20% - Accent3 2 14 2" xfId="2098" xr:uid="{ABF48751-3C53-4512-AE63-8303F3281100}"/>
    <cellStyle name="20% - Accent3 2 15" xfId="105" xr:uid="{00000000-0005-0000-0000-000068000000}"/>
    <cellStyle name="20% - Accent3 2 15 2" xfId="2099" xr:uid="{77EEA61E-BC9A-46A3-BCD3-09572CFDE5D4}"/>
    <cellStyle name="20% - Accent3 2 16" xfId="106" xr:uid="{00000000-0005-0000-0000-000069000000}"/>
    <cellStyle name="20% - Accent3 2 16 2" xfId="2100" xr:uid="{ED83E41C-F592-4D15-BBA7-7AB9A3681527}"/>
    <cellStyle name="20% - Accent3 2 17" xfId="107" xr:uid="{00000000-0005-0000-0000-00006A000000}"/>
    <cellStyle name="20% - Accent3 2 17 2" xfId="2101" xr:uid="{93067F7A-0D7F-40C5-AB94-4175A4690A26}"/>
    <cellStyle name="20% - Accent3 2 18" xfId="108" xr:uid="{00000000-0005-0000-0000-00006B000000}"/>
    <cellStyle name="20% - Accent3 2 18 2" xfId="2102" xr:uid="{ED16E365-6EA3-4C6F-84B6-DBB0C0F413CF}"/>
    <cellStyle name="20% - Accent3 2 19" xfId="109" xr:uid="{00000000-0005-0000-0000-00006C000000}"/>
    <cellStyle name="20% - Accent3 2 19 2" xfId="2103" xr:uid="{3A90B02E-6CCD-4F88-AFC8-53CC9D2F491B}"/>
    <cellStyle name="20% - Accent3 2 2" xfId="110" xr:uid="{00000000-0005-0000-0000-00006D000000}"/>
    <cellStyle name="20% - Accent3 2 2 2" xfId="2104" xr:uid="{0CE1C6A3-0287-4F4A-AE5A-36990BC09805}"/>
    <cellStyle name="20% - Accent3 2 20" xfId="111" xr:uid="{00000000-0005-0000-0000-00006E000000}"/>
    <cellStyle name="20% - Accent3 2 20 2" xfId="2105" xr:uid="{798885B6-AFC0-4B72-9553-AA1EA4B9C76A}"/>
    <cellStyle name="20% - Accent3 2 21" xfId="112" xr:uid="{00000000-0005-0000-0000-00006F000000}"/>
    <cellStyle name="20% - Accent3 2 21 2" xfId="2106" xr:uid="{88364C35-07E1-4E9A-BD57-D1F34377D851}"/>
    <cellStyle name="20% - Accent3 2 22" xfId="113" xr:uid="{00000000-0005-0000-0000-000070000000}"/>
    <cellStyle name="20% - Accent3 2 22 2" xfId="2107" xr:uid="{BB532BC7-8C34-4F55-9C7F-6806CF3F757A}"/>
    <cellStyle name="20% - Accent3 2 23" xfId="114" xr:uid="{00000000-0005-0000-0000-000071000000}"/>
    <cellStyle name="20% - Accent3 2 23 2" xfId="2108" xr:uid="{8D6A59F5-FF24-4618-9F01-B6D5EBE31E49}"/>
    <cellStyle name="20% - Accent3 2 24" xfId="115" xr:uid="{00000000-0005-0000-0000-000072000000}"/>
    <cellStyle name="20% - Accent3 2 24 2" xfId="2109" xr:uid="{D8FD32E5-D15D-4F3B-B0B9-4350EF912B0F}"/>
    <cellStyle name="20% - Accent3 2 25" xfId="116" xr:uid="{00000000-0005-0000-0000-000073000000}"/>
    <cellStyle name="20% - Accent3 2 25 2" xfId="2110" xr:uid="{3A632FF5-ECE9-4671-AE98-F4BBADE4CD14}"/>
    <cellStyle name="20% - Accent3 2 26" xfId="117" xr:uid="{00000000-0005-0000-0000-000074000000}"/>
    <cellStyle name="20% - Accent3 2 26 2" xfId="2111" xr:uid="{D396ADC5-A373-4AB7-A284-067BB0CA4DC7}"/>
    <cellStyle name="20% - Accent3 2 27" xfId="118" xr:uid="{00000000-0005-0000-0000-000075000000}"/>
    <cellStyle name="20% - Accent3 2 27 2" xfId="2112" xr:uid="{C9918FFA-0533-4A3F-99B6-E7541772340D}"/>
    <cellStyle name="20% - Accent3 2 28" xfId="119" xr:uid="{00000000-0005-0000-0000-000076000000}"/>
    <cellStyle name="20% - Accent3 2 28 2" xfId="2113" xr:uid="{68B391A4-7623-4F84-93AB-5855832C5A68}"/>
    <cellStyle name="20% - Accent3 2 29" xfId="120" xr:uid="{00000000-0005-0000-0000-000077000000}"/>
    <cellStyle name="20% - Accent3 2 29 2" xfId="2114" xr:uid="{84C2B23D-5305-4F8E-988B-03F4EA90C277}"/>
    <cellStyle name="20% - Accent3 2 3" xfId="121" xr:uid="{00000000-0005-0000-0000-000078000000}"/>
    <cellStyle name="20% - Accent3 2 3 2" xfId="2115" xr:uid="{0D463B39-9295-47BB-8908-151D83484E82}"/>
    <cellStyle name="20% - Accent3 2 30" xfId="122" xr:uid="{00000000-0005-0000-0000-000079000000}"/>
    <cellStyle name="20% - Accent3 2 30 2" xfId="2116" xr:uid="{D0EF6010-F1BB-44C0-862D-19342E9BF0F3}"/>
    <cellStyle name="20% - Accent3 2 31" xfId="123" xr:uid="{00000000-0005-0000-0000-00007A000000}"/>
    <cellStyle name="20% - Accent3 2 31 2" xfId="2117" xr:uid="{E00BC759-AD76-4B94-9B8E-63C3CBC08F18}"/>
    <cellStyle name="20% - Accent3 2 32" xfId="124" xr:uid="{00000000-0005-0000-0000-00007B000000}"/>
    <cellStyle name="20% - Accent3 2 32 2" xfId="2118" xr:uid="{F19226C7-490D-473B-8121-B8D0014B5064}"/>
    <cellStyle name="20% - Accent3 2 33" xfId="125" xr:uid="{00000000-0005-0000-0000-00007C000000}"/>
    <cellStyle name="20% - Accent3 2 33 2" xfId="2119" xr:uid="{A86009E8-37B2-4C40-ABF0-FD2AC8A71E92}"/>
    <cellStyle name="20% - Accent3 2 34" xfId="126" xr:uid="{00000000-0005-0000-0000-00007D000000}"/>
    <cellStyle name="20% - Accent3 2 34 2" xfId="2120" xr:uid="{BF70ECEC-39E1-4C3E-A099-DBFE68AF0A19}"/>
    <cellStyle name="20% - Accent3 2 35" xfId="127" xr:uid="{00000000-0005-0000-0000-00007E000000}"/>
    <cellStyle name="20% - Accent3 2 35 2" xfId="2121" xr:uid="{F297598F-A5F6-43F7-97C4-CE5B0EDBA39E}"/>
    <cellStyle name="20% - Accent3 2 36" xfId="128" xr:uid="{00000000-0005-0000-0000-00007F000000}"/>
    <cellStyle name="20% - Accent3 2 36 2" xfId="2122" xr:uid="{2730054D-3090-48FC-BC13-325B62EDD567}"/>
    <cellStyle name="20% - Accent3 2 37" xfId="129" xr:uid="{00000000-0005-0000-0000-000080000000}"/>
    <cellStyle name="20% - Accent3 2 37 2" xfId="2123" xr:uid="{A4B53A29-2956-4A08-A1CC-9E04ADAA5B91}"/>
    <cellStyle name="20% - Accent3 2 38" xfId="130" xr:uid="{00000000-0005-0000-0000-000081000000}"/>
    <cellStyle name="20% - Accent3 2 38 2" xfId="2124" xr:uid="{C6B6FA12-1E86-4500-A777-37C736DC0353}"/>
    <cellStyle name="20% - Accent3 2 39" xfId="131" xr:uid="{00000000-0005-0000-0000-000082000000}"/>
    <cellStyle name="20% - Accent3 2 39 2" xfId="2125" xr:uid="{0F955449-5744-4001-B7EE-53FECCC3D02C}"/>
    <cellStyle name="20% - Accent3 2 4" xfId="132" xr:uid="{00000000-0005-0000-0000-000083000000}"/>
    <cellStyle name="20% - Accent3 2 4 2" xfId="2126" xr:uid="{02B7DE24-EA1C-46CF-B6B2-4341711ACA10}"/>
    <cellStyle name="20% - Accent3 2 40" xfId="133" xr:uid="{00000000-0005-0000-0000-000084000000}"/>
    <cellStyle name="20% - Accent3 2 40 2" xfId="2127" xr:uid="{8A6A024B-92BC-4DC4-A4BA-DEA84422B8C0}"/>
    <cellStyle name="20% - Accent3 2 41" xfId="134" xr:uid="{00000000-0005-0000-0000-000085000000}"/>
    <cellStyle name="20% - Accent3 2 41 2" xfId="2128" xr:uid="{5AFC3F8F-8295-4A84-8659-44CA452D902C}"/>
    <cellStyle name="20% - Accent3 2 42" xfId="135" xr:uid="{00000000-0005-0000-0000-000086000000}"/>
    <cellStyle name="20% - Accent3 2 42 2" xfId="2129" xr:uid="{80EC3843-C43C-4815-B4A3-6957E8CBCFDE}"/>
    <cellStyle name="20% - Accent3 2 43" xfId="136" xr:uid="{00000000-0005-0000-0000-000087000000}"/>
    <cellStyle name="20% - Accent3 2 43 2" xfId="2130" xr:uid="{B1A3D2A4-EFA6-457E-8A36-B982D16C2D2A}"/>
    <cellStyle name="20% - Accent3 2 44" xfId="137" xr:uid="{00000000-0005-0000-0000-000088000000}"/>
    <cellStyle name="20% - Accent3 2 44 2" xfId="2131" xr:uid="{471737F3-1659-45B8-9062-768335CA895F}"/>
    <cellStyle name="20% - Accent3 2 45" xfId="138" xr:uid="{00000000-0005-0000-0000-000089000000}"/>
    <cellStyle name="20% - Accent3 2 45 2" xfId="2132" xr:uid="{1F18DB75-8F47-4CDF-B7D0-18D58794ACEA}"/>
    <cellStyle name="20% - Accent3 2 46" xfId="139" xr:uid="{00000000-0005-0000-0000-00008A000000}"/>
    <cellStyle name="20% - Accent3 2 46 2" xfId="2133" xr:uid="{99AFC60A-9E4B-4C87-8AE5-1A6ADBA907DC}"/>
    <cellStyle name="20% - Accent3 2 47" xfId="140" xr:uid="{00000000-0005-0000-0000-00008B000000}"/>
    <cellStyle name="20% - Accent3 2 47 2" xfId="2134" xr:uid="{50FD5A1A-420F-4C6D-BB96-C0F5F330D71D}"/>
    <cellStyle name="20% - Accent3 2 48" xfId="141" xr:uid="{00000000-0005-0000-0000-00008C000000}"/>
    <cellStyle name="20% - Accent3 2 48 2" xfId="2135" xr:uid="{49432C31-D681-4591-ACE9-B64C2DDE049A}"/>
    <cellStyle name="20% - Accent3 2 49" xfId="142" xr:uid="{00000000-0005-0000-0000-00008D000000}"/>
    <cellStyle name="20% - Accent3 2 49 2" xfId="2136" xr:uid="{CAD562F2-1069-418B-A1D7-A6399DD6E3CD}"/>
    <cellStyle name="20% - Accent3 2 5" xfId="143" xr:uid="{00000000-0005-0000-0000-00008E000000}"/>
    <cellStyle name="20% - Accent3 2 5 2" xfId="2137" xr:uid="{9340FA3E-2883-4BCF-9B06-C65F7404E5EF}"/>
    <cellStyle name="20% - Accent3 2 50" xfId="2093" xr:uid="{AB0C6324-D11D-4A40-BD44-DD6E78D92357}"/>
    <cellStyle name="20% - Accent3 2 6" xfId="144" xr:uid="{00000000-0005-0000-0000-00008F000000}"/>
    <cellStyle name="20% - Accent3 2 6 2" xfId="2138" xr:uid="{A15531F3-E830-45AC-817B-C54F52867C39}"/>
    <cellStyle name="20% - Accent3 2 7" xfId="145" xr:uid="{00000000-0005-0000-0000-000090000000}"/>
    <cellStyle name="20% - Accent3 2 7 2" xfId="2139" xr:uid="{96E59BBE-163E-440C-AAC6-73F9273613A7}"/>
    <cellStyle name="20% - Accent3 2 8" xfId="146" xr:uid="{00000000-0005-0000-0000-000091000000}"/>
    <cellStyle name="20% - Accent3 2 8 2" xfId="2140" xr:uid="{38E00828-8DE5-4925-8C4B-7FEBAFD589EA}"/>
    <cellStyle name="20% - Accent3 2 9" xfId="147" xr:uid="{00000000-0005-0000-0000-000092000000}"/>
    <cellStyle name="20% - Accent3 2 9 2" xfId="2141" xr:uid="{96045027-2E59-48FE-8223-8CEE1BCCF623}"/>
    <cellStyle name="20% - Accent4 2" xfId="148" xr:uid="{00000000-0005-0000-0000-000093000000}"/>
    <cellStyle name="20% - Accent4 2 10" xfId="149" xr:uid="{00000000-0005-0000-0000-000094000000}"/>
    <cellStyle name="20% - Accent4 2 10 2" xfId="2143" xr:uid="{81876CBB-B74C-4CBB-BA97-CE511854010F}"/>
    <cellStyle name="20% - Accent4 2 11" xfId="150" xr:uid="{00000000-0005-0000-0000-000095000000}"/>
    <cellStyle name="20% - Accent4 2 11 2" xfId="2144" xr:uid="{32F703FB-154D-46D1-B272-C4D57F81C383}"/>
    <cellStyle name="20% - Accent4 2 12" xfId="151" xr:uid="{00000000-0005-0000-0000-000096000000}"/>
    <cellStyle name="20% - Accent4 2 12 2" xfId="2145" xr:uid="{A72475FF-0E89-48EB-893D-212D19F22D86}"/>
    <cellStyle name="20% - Accent4 2 13" xfId="152" xr:uid="{00000000-0005-0000-0000-000097000000}"/>
    <cellStyle name="20% - Accent4 2 13 2" xfId="2146" xr:uid="{7E15C38C-B5C1-490C-8355-6BE261AF5149}"/>
    <cellStyle name="20% - Accent4 2 14" xfId="153" xr:uid="{00000000-0005-0000-0000-000098000000}"/>
    <cellStyle name="20% - Accent4 2 14 2" xfId="2147" xr:uid="{48345DC9-B2FF-425D-8D75-D82CF35B7909}"/>
    <cellStyle name="20% - Accent4 2 15" xfId="154" xr:uid="{00000000-0005-0000-0000-000099000000}"/>
    <cellStyle name="20% - Accent4 2 15 2" xfId="2148" xr:uid="{B674F9AC-E0A5-4DB4-9733-F30216E1DCCA}"/>
    <cellStyle name="20% - Accent4 2 16" xfId="155" xr:uid="{00000000-0005-0000-0000-00009A000000}"/>
    <cellStyle name="20% - Accent4 2 16 2" xfId="2149" xr:uid="{D6C29A7A-3A39-44AB-A579-C2847C78E0B0}"/>
    <cellStyle name="20% - Accent4 2 17" xfId="156" xr:uid="{00000000-0005-0000-0000-00009B000000}"/>
    <cellStyle name="20% - Accent4 2 17 2" xfId="2150" xr:uid="{81C55034-8D4A-4984-8DAE-A625BDA0C677}"/>
    <cellStyle name="20% - Accent4 2 18" xfId="157" xr:uid="{00000000-0005-0000-0000-00009C000000}"/>
    <cellStyle name="20% - Accent4 2 18 2" xfId="2151" xr:uid="{26138BB3-5FE6-4D34-904A-A276A95C2CBA}"/>
    <cellStyle name="20% - Accent4 2 19" xfId="158" xr:uid="{00000000-0005-0000-0000-00009D000000}"/>
    <cellStyle name="20% - Accent4 2 19 2" xfId="2152" xr:uid="{50E656AE-1E00-43FE-BA29-0417D0FDE1C3}"/>
    <cellStyle name="20% - Accent4 2 2" xfId="159" xr:uid="{00000000-0005-0000-0000-00009E000000}"/>
    <cellStyle name="20% - Accent4 2 2 2" xfId="2153" xr:uid="{B86D4204-2629-4186-B585-B6592AC4B11C}"/>
    <cellStyle name="20% - Accent4 2 20" xfId="160" xr:uid="{00000000-0005-0000-0000-00009F000000}"/>
    <cellStyle name="20% - Accent4 2 20 2" xfId="2154" xr:uid="{33C5C2C5-2095-452B-B8EA-BF6463538720}"/>
    <cellStyle name="20% - Accent4 2 21" xfId="161" xr:uid="{00000000-0005-0000-0000-0000A0000000}"/>
    <cellStyle name="20% - Accent4 2 21 2" xfId="2155" xr:uid="{CC0F19B3-9A38-44D7-8343-88BA425D409E}"/>
    <cellStyle name="20% - Accent4 2 22" xfId="162" xr:uid="{00000000-0005-0000-0000-0000A1000000}"/>
    <cellStyle name="20% - Accent4 2 22 2" xfId="2156" xr:uid="{C6A06662-FB9C-4D30-ABEF-4E9D2D16CB39}"/>
    <cellStyle name="20% - Accent4 2 23" xfId="163" xr:uid="{00000000-0005-0000-0000-0000A2000000}"/>
    <cellStyle name="20% - Accent4 2 23 2" xfId="2157" xr:uid="{14B9170A-7B6A-4DF6-87B3-82DCFB2DBDF4}"/>
    <cellStyle name="20% - Accent4 2 24" xfId="164" xr:uid="{00000000-0005-0000-0000-0000A3000000}"/>
    <cellStyle name="20% - Accent4 2 24 2" xfId="2158" xr:uid="{E3EF6845-2049-4703-BFF1-99D6DA3E20E8}"/>
    <cellStyle name="20% - Accent4 2 25" xfId="165" xr:uid="{00000000-0005-0000-0000-0000A4000000}"/>
    <cellStyle name="20% - Accent4 2 25 2" xfId="2159" xr:uid="{8AF2FD43-6047-4FEC-A9B8-E81F4DA19424}"/>
    <cellStyle name="20% - Accent4 2 26" xfId="166" xr:uid="{00000000-0005-0000-0000-0000A5000000}"/>
    <cellStyle name="20% - Accent4 2 26 2" xfId="2160" xr:uid="{EE62E533-FC3D-4B83-8315-ECB71740621C}"/>
    <cellStyle name="20% - Accent4 2 27" xfId="167" xr:uid="{00000000-0005-0000-0000-0000A6000000}"/>
    <cellStyle name="20% - Accent4 2 27 2" xfId="2161" xr:uid="{836C527D-6B31-489B-B9F0-AAD964C87AE7}"/>
    <cellStyle name="20% - Accent4 2 28" xfId="168" xr:uid="{00000000-0005-0000-0000-0000A7000000}"/>
    <cellStyle name="20% - Accent4 2 28 2" xfId="2162" xr:uid="{15D8F2FC-2624-46A0-AAEF-E7D90353BA8E}"/>
    <cellStyle name="20% - Accent4 2 29" xfId="169" xr:uid="{00000000-0005-0000-0000-0000A8000000}"/>
    <cellStyle name="20% - Accent4 2 29 2" xfId="2163" xr:uid="{E4C2A24A-2284-4204-B047-14FC44F411DD}"/>
    <cellStyle name="20% - Accent4 2 3" xfId="170" xr:uid="{00000000-0005-0000-0000-0000A9000000}"/>
    <cellStyle name="20% - Accent4 2 3 2" xfId="2164" xr:uid="{1558260E-E255-464F-A54A-901174A8AD9F}"/>
    <cellStyle name="20% - Accent4 2 30" xfId="171" xr:uid="{00000000-0005-0000-0000-0000AA000000}"/>
    <cellStyle name="20% - Accent4 2 30 2" xfId="2165" xr:uid="{0EA2AEF4-35D4-450C-97A3-8B1E5EE81430}"/>
    <cellStyle name="20% - Accent4 2 31" xfId="172" xr:uid="{00000000-0005-0000-0000-0000AB000000}"/>
    <cellStyle name="20% - Accent4 2 31 2" xfId="2166" xr:uid="{1B506378-247B-4093-8381-EE1409137D0A}"/>
    <cellStyle name="20% - Accent4 2 32" xfId="173" xr:uid="{00000000-0005-0000-0000-0000AC000000}"/>
    <cellStyle name="20% - Accent4 2 32 2" xfId="2167" xr:uid="{76DDCD6C-8715-4E2F-9B8E-1EAAC91DC239}"/>
    <cellStyle name="20% - Accent4 2 33" xfId="174" xr:uid="{00000000-0005-0000-0000-0000AD000000}"/>
    <cellStyle name="20% - Accent4 2 33 2" xfId="2168" xr:uid="{3A99D2C3-C03C-4EE6-B88F-429D311600A9}"/>
    <cellStyle name="20% - Accent4 2 34" xfId="175" xr:uid="{00000000-0005-0000-0000-0000AE000000}"/>
    <cellStyle name="20% - Accent4 2 34 2" xfId="2169" xr:uid="{656BD383-52D2-4A7C-9350-4AA4724F6EEE}"/>
    <cellStyle name="20% - Accent4 2 35" xfId="176" xr:uid="{00000000-0005-0000-0000-0000AF000000}"/>
    <cellStyle name="20% - Accent4 2 35 2" xfId="2170" xr:uid="{CC1AA03F-AA4A-44E2-8E88-C1C9459DFE0A}"/>
    <cellStyle name="20% - Accent4 2 36" xfId="177" xr:uid="{00000000-0005-0000-0000-0000B0000000}"/>
    <cellStyle name="20% - Accent4 2 36 2" xfId="2171" xr:uid="{58F19D87-0104-4E8E-A1BB-BDD66686002E}"/>
    <cellStyle name="20% - Accent4 2 37" xfId="178" xr:uid="{00000000-0005-0000-0000-0000B1000000}"/>
    <cellStyle name="20% - Accent4 2 37 2" xfId="2172" xr:uid="{908675BE-92FB-41B3-9C99-841E2EB95A75}"/>
    <cellStyle name="20% - Accent4 2 38" xfId="179" xr:uid="{00000000-0005-0000-0000-0000B2000000}"/>
    <cellStyle name="20% - Accent4 2 38 2" xfId="2173" xr:uid="{A47D159C-9A6C-4F6A-9427-31CB8AFAF103}"/>
    <cellStyle name="20% - Accent4 2 39" xfId="180" xr:uid="{00000000-0005-0000-0000-0000B3000000}"/>
    <cellStyle name="20% - Accent4 2 39 2" xfId="2174" xr:uid="{DF978DF7-81A0-4241-9782-7A69FFAF3E85}"/>
    <cellStyle name="20% - Accent4 2 4" xfId="181" xr:uid="{00000000-0005-0000-0000-0000B4000000}"/>
    <cellStyle name="20% - Accent4 2 4 2" xfId="2175" xr:uid="{A4390843-5D38-42EF-8C20-03441F0F1E26}"/>
    <cellStyle name="20% - Accent4 2 40" xfId="182" xr:uid="{00000000-0005-0000-0000-0000B5000000}"/>
    <cellStyle name="20% - Accent4 2 40 2" xfId="2176" xr:uid="{27762E2A-1588-4F43-9BF1-3ECA77832D1D}"/>
    <cellStyle name="20% - Accent4 2 41" xfId="183" xr:uid="{00000000-0005-0000-0000-0000B6000000}"/>
    <cellStyle name="20% - Accent4 2 41 2" xfId="2177" xr:uid="{A2670624-5212-4397-AABD-EBBC300F59FB}"/>
    <cellStyle name="20% - Accent4 2 42" xfId="184" xr:uid="{00000000-0005-0000-0000-0000B7000000}"/>
    <cellStyle name="20% - Accent4 2 42 2" xfId="2178" xr:uid="{EBE496E8-45BF-496A-85D9-05AE6989A03D}"/>
    <cellStyle name="20% - Accent4 2 43" xfId="185" xr:uid="{00000000-0005-0000-0000-0000B8000000}"/>
    <cellStyle name="20% - Accent4 2 43 2" xfId="2179" xr:uid="{26013FE3-0270-407A-93B5-37F1FDD6CF15}"/>
    <cellStyle name="20% - Accent4 2 44" xfId="186" xr:uid="{00000000-0005-0000-0000-0000B9000000}"/>
    <cellStyle name="20% - Accent4 2 44 2" xfId="2180" xr:uid="{A0AAD3B2-39B5-48AA-9F88-EC92F6359DED}"/>
    <cellStyle name="20% - Accent4 2 45" xfId="187" xr:uid="{00000000-0005-0000-0000-0000BA000000}"/>
    <cellStyle name="20% - Accent4 2 45 2" xfId="2181" xr:uid="{A141A2A3-726E-4320-BE6F-D9884DDFBD40}"/>
    <cellStyle name="20% - Accent4 2 46" xfId="188" xr:uid="{00000000-0005-0000-0000-0000BB000000}"/>
    <cellStyle name="20% - Accent4 2 46 2" xfId="2182" xr:uid="{F61CAE94-745C-400B-AF79-0D257F05431E}"/>
    <cellStyle name="20% - Accent4 2 47" xfId="189" xr:uid="{00000000-0005-0000-0000-0000BC000000}"/>
    <cellStyle name="20% - Accent4 2 47 2" xfId="2183" xr:uid="{A7689570-4ECE-4F89-88A5-2BFC19072524}"/>
    <cellStyle name="20% - Accent4 2 48" xfId="190" xr:uid="{00000000-0005-0000-0000-0000BD000000}"/>
    <cellStyle name="20% - Accent4 2 48 2" xfId="2184" xr:uid="{6155D793-3B7C-45B8-902B-923FD5D845B3}"/>
    <cellStyle name="20% - Accent4 2 49" xfId="191" xr:uid="{00000000-0005-0000-0000-0000BE000000}"/>
    <cellStyle name="20% - Accent4 2 49 2" xfId="2185" xr:uid="{B98E827D-461D-4C95-84B7-87E01896C85F}"/>
    <cellStyle name="20% - Accent4 2 5" xfId="192" xr:uid="{00000000-0005-0000-0000-0000BF000000}"/>
    <cellStyle name="20% - Accent4 2 5 2" xfId="2186" xr:uid="{FC2D88DD-1D9E-4F5F-959C-F501E8E10C64}"/>
    <cellStyle name="20% - Accent4 2 50" xfId="2142" xr:uid="{784787E2-37E9-4F55-911F-12DDB9E73558}"/>
    <cellStyle name="20% - Accent4 2 6" xfId="193" xr:uid="{00000000-0005-0000-0000-0000C0000000}"/>
    <cellStyle name="20% - Accent4 2 6 2" xfId="2187" xr:uid="{15DD04DC-88B6-45A6-BE73-9D188395DF3C}"/>
    <cellStyle name="20% - Accent4 2 7" xfId="194" xr:uid="{00000000-0005-0000-0000-0000C1000000}"/>
    <cellStyle name="20% - Accent4 2 7 2" xfId="2188" xr:uid="{24C98C02-0DC3-4843-84EC-840C2BF327B6}"/>
    <cellStyle name="20% - Accent4 2 8" xfId="195" xr:uid="{00000000-0005-0000-0000-0000C2000000}"/>
    <cellStyle name="20% - Accent4 2 8 2" xfId="2189" xr:uid="{1784BE4E-8EAB-4537-83D2-1EAFBBAFD451}"/>
    <cellStyle name="20% - Accent4 2 9" xfId="196" xr:uid="{00000000-0005-0000-0000-0000C3000000}"/>
    <cellStyle name="20% - Accent4 2 9 2" xfId="2190" xr:uid="{F2047A75-5BFA-48A6-AEE2-1031EB158395}"/>
    <cellStyle name="20% - Accent5" xfId="197" builtinId="46" customBuiltin="1"/>
    <cellStyle name="20% - Accent5 2" xfId="2191" xr:uid="{775C8854-5A7E-43BB-AAB5-0F2DCFCEADCB}"/>
    <cellStyle name="20% - Accent6 2" xfId="198" xr:uid="{00000000-0005-0000-0000-0000C5000000}"/>
    <cellStyle name="20% - Accent6 2 10" xfId="199" xr:uid="{00000000-0005-0000-0000-0000C6000000}"/>
    <cellStyle name="20% - Accent6 2 10 2" xfId="2193" xr:uid="{92B8E249-6E13-49E8-BD3F-E34782D888CC}"/>
    <cellStyle name="20% - Accent6 2 11" xfId="200" xr:uid="{00000000-0005-0000-0000-0000C7000000}"/>
    <cellStyle name="20% - Accent6 2 11 2" xfId="2194" xr:uid="{E903C563-95EB-463D-80F2-B28CB22C0279}"/>
    <cellStyle name="20% - Accent6 2 12" xfId="201" xr:uid="{00000000-0005-0000-0000-0000C8000000}"/>
    <cellStyle name="20% - Accent6 2 12 2" xfId="2195" xr:uid="{E0700772-BCFE-4002-B432-5D6C2ED350EE}"/>
    <cellStyle name="20% - Accent6 2 13" xfId="202" xr:uid="{00000000-0005-0000-0000-0000C9000000}"/>
    <cellStyle name="20% - Accent6 2 13 2" xfId="2196" xr:uid="{26DB2AF2-F4F9-4318-BAA0-E9458487AC1B}"/>
    <cellStyle name="20% - Accent6 2 14" xfId="203" xr:uid="{00000000-0005-0000-0000-0000CA000000}"/>
    <cellStyle name="20% - Accent6 2 14 2" xfId="2197" xr:uid="{A72F9F87-94AD-4D29-B2CE-1FBC065AF24A}"/>
    <cellStyle name="20% - Accent6 2 15" xfId="204" xr:uid="{00000000-0005-0000-0000-0000CB000000}"/>
    <cellStyle name="20% - Accent6 2 15 2" xfId="2198" xr:uid="{D16F08D4-03DB-4268-BACE-A62AC38F8940}"/>
    <cellStyle name="20% - Accent6 2 16" xfId="205" xr:uid="{00000000-0005-0000-0000-0000CC000000}"/>
    <cellStyle name="20% - Accent6 2 16 2" xfId="2199" xr:uid="{4ED407D5-FB21-4F73-A745-D63D3B25A2CA}"/>
    <cellStyle name="20% - Accent6 2 17" xfId="206" xr:uid="{00000000-0005-0000-0000-0000CD000000}"/>
    <cellStyle name="20% - Accent6 2 17 2" xfId="2200" xr:uid="{AE84C416-AAA7-49C4-BC2F-1D1DD4591B95}"/>
    <cellStyle name="20% - Accent6 2 18" xfId="207" xr:uid="{00000000-0005-0000-0000-0000CE000000}"/>
    <cellStyle name="20% - Accent6 2 18 2" xfId="2201" xr:uid="{05F437CA-B170-4C82-935C-B386C455F763}"/>
    <cellStyle name="20% - Accent6 2 19" xfId="208" xr:uid="{00000000-0005-0000-0000-0000CF000000}"/>
    <cellStyle name="20% - Accent6 2 19 2" xfId="2202" xr:uid="{8ACEDB8E-B995-4984-81BF-634AF5DD53C3}"/>
    <cellStyle name="20% - Accent6 2 2" xfId="209" xr:uid="{00000000-0005-0000-0000-0000D0000000}"/>
    <cellStyle name="20% - Accent6 2 2 2" xfId="2203" xr:uid="{B6F27B8F-7167-4EA5-BB14-02FE6EAF2A9B}"/>
    <cellStyle name="20% - Accent6 2 20" xfId="210" xr:uid="{00000000-0005-0000-0000-0000D1000000}"/>
    <cellStyle name="20% - Accent6 2 20 2" xfId="2204" xr:uid="{07771C93-461F-4472-AB1F-972266D3E813}"/>
    <cellStyle name="20% - Accent6 2 21" xfId="211" xr:uid="{00000000-0005-0000-0000-0000D2000000}"/>
    <cellStyle name="20% - Accent6 2 21 2" xfId="2205" xr:uid="{B9774A86-7BC2-4660-9D99-939A1A859606}"/>
    <cellStyle name="20% - Accent6 2 22" xfId="212" xr:uid="{00000000-0005-0000-0000-0000D3000000}"/>
    <cellStyle name="20% - Accent6 2 22 2" xfId="2206" xr:uid="{39C5673B-9D9B-4273-9DFD-D30C47033212}"/>
    <cellStyle name="20% - Accent6 2 23" xfId="213" xr:uid="{00000000-0005-0000-0000-0000D4000000}"/>
    <cellStyle name="20% - Accent6 2 23 2" xfId="2207" xr:uid="{1D6C560B-C753-4B37-B9EB-FE69157CE0EB}"/>
    <cellStyle name="20% - Accent6 2 24" xfId="214" xr:uid="{00000000-0005-0000-0000-0000D5000000}"/>
    <cellStyle name="20% - Accent6 2 24 2" xfId="2208" xr:uid="{0CFE39E6-86FE-4194-8594-B8B5BF1A2618}"/>
    <cellStyle name="20% - Accent6 2 25" xfId="215" xr:uid="{00000000-0005-0000-0000-0000D6000000}"/>
    <cellStyle name="20% - Accent6 2 25 2" xfId="2209" xr:uid="{104CB54D-3CDA-48EA-A912-47779446CA8E}"/>
    <cellStyle name="20% - Accent6 2 26" xfId="216" xr:uid="{00000000-0005-0000-0000-0000D7000000}"/>
    <cellStyle name="20% - Accent6 2 26 2" xfId="2210" xr:uid="{04E51C91-C307-4A72-A6B8-C7B8642720F3}"/>
    <cellStyle name="20% - Accent6 2 27" xfId="217" xr:uid="{00000000-0005-0000-0000-0000D8000000}"/>
    <cellStyle name="20% - Accent6 2 27 2" xfId="2211" xr:uid="{4F991D0B-8517-49D8-8035-0F506FC22AAE}"/>
    <cellStyle name="20% - Accent6 2 28" xfId="218" xr:uid="{00000000-0005-0000-0000-0000D9000000}"/>
    <cellStyle name="20% - Accent6 2 28 2" xfId="2212" xr:uid="{1313332C-5C5E-4096-A903-90A945C74E60}"/>
    <cellStyle name="20% - Accent6 2 29" xfId="219" xr:uid="{00000000-0005-0000-0000-0000DA000000}"/>
    <cellStyle name="20% - Accent6 2 29 2" xfId="2213" xr:uid="{96748E4F-3FBD-4CBF-B555-60B4CB5E9481}"/>
    <cellStyle name="20% - Accent6 2 3" xfId="220" xr:uid="{00000000-0005-0000-0000-0000DB000000}"/>
    <cellStyle name="20% - Accent6 2 3 2" xfId="2214" xr:uid="{2A35FF26-A607-4D1D-94F6-DC7BE55B7447}"/>
    <cellStyle name="20% - Accent6 2 30" xfId="221" xr:uid="{00000000-0005-0000-0000-0000DC000000}"/>
    <cellStyle name="20% - Accent6 2 30 2" xfId="2215" xr:uid="{CC42870A-9E51-48D6-918F-D40CB9593480}"/>
    <cellStyle name="20% - Accent6 2 31" xfId="222" xr:uid="{00000000-0005-0000-0000-0000DD000000}"/>
    <cellStyle name="20% - Accent6 2 31 2" xfId="2216" xr:uid="{F5CBE0DC-4B30-4205-ACB0-381E456713AE}"/>
    <cellStyle name="20% - Accent6 2 32" xfId="223" xr:uid="{00000000-0005-0000-0000-0000DE000000}"/>
    <cellStyle name="20% - Accent6 2 32 2" xfId="2217" xr:uid="{D0B80E15-3164-4334-ABB1-43A7CFF08C31}"/>
    <cellStyle name="20% - Accent6 2 33" xfId="224" xr:uid="{00000000-0005-0000-0000-0000DF000000}"/>
    <cellStyle name="20% - Accent6 2 33 2" xfId="2218" xr:uid="{F896671B-EB30-42EF-B755-C2D34EF65F94}"/>
    <cellStyle name="20% - Accent6 2 34" xfId="225" xr:uid="{00000000-0005-0000-0000-0000E0000000}"/>
    <cellStyle name="20% - Accent6 2 34 2" xfId="2219" xr:uid="{25E04A53-D615-40DA-80DA-3F44A7C4C4F0}"/>
    <cellStyle name="20% - Accent6 2 35" xfId="226" xr:uid="{00000000-0005-0000-0000-0000E1000000}"/>
    <cellStyle name="20% - Accent6 2 35 2" xfId="2220" xr:uid="{12B7D39D-AB33-4411-8740-057E0BF2401E}"/>
    <cellStyle name="20% - Accent6 2 36" xfId="227" xr:uid="{00000000-0005-0000-0000-0000E2000000}"/>
    <cellStyle name="20% - Accent6 2 36 2" xfId="2221" xr:uid="{7B457DF0-4FEC-4F4F-9E61-B7729A99331B}"/>
    <cellStyle name="20% - Accent6 2 37" xfId="228" xr:uid="{00000000-0005-0000-0000-0000E3000000}"/>
    <cellStyle name="20% - Accent6 2 37 2" xfId="2222" xr:uid="{AFE40EB8-8E17-43F0-B772-56DEFA243371}"/>
    <cellStyle name="20% - Accent6 2 38" xfId="229" xr:uid="{00000000-0005-0000-0000-0000E4000000}"/>
    <cellStyle name="20% - Accent6 2 38 2" xfId="2223" xr:uid="{B9F10F82-B8D9-42C8-8B1F-96FAC71F412C}"/>
    <cellStyle name="20% - Accent6 2 39" xfId="230" xr:uid="{00000000-0005-0000-0000-0000E5000000}"/>
    <cellStyle name="20% - Accent6 2 39 2" xfId="2224" xr:uid="{E29165BD-8B71-4694-BB0E-95D48CD51E72}"/>
    <cellStyle name="20% - Accent6 2 4" xfId="231" xr:uid="{00000000-0005-0000-0000-0000E6000000}"/>
    <cellStyle name="20% - Accent6 2 4 2" xfId="2225" xr:uid="{A639DE7D-0FCC-4500-8A08-2C9B82CB6B01}"/>
    <cellStyle name="20% - Accent6 2 40" xfId="232" xr:uid="{00000000-0005-0000-0000-0000E7000000}"/>
    <cellStyle name="20% - Accent6 2 40 2" xfId="2226" xr:uid="{6E479220-3E34-4A33-9AF5-61BDE1CD1C9E}"/>
    <cellStyle name="20% - Accent6 2 41" xfId="233" xr:uid="{00000000-0005-0000-0000-0000E8000000}"/>
    <cellStyle name="20% - Accent6 2 41 2" xfId="2227" xr:uid="{6FCFCA17-60D0-4EE8-8656-0176CE91ECB5}"/>
    <cellStyle name="20% - Accent6 2 42" xfId="234" xr:uid="{00000000-0005-0000-0000-0000E9000000}"/>
    <cellStyle name="20% - Accent6 2 42 2" xfId="2228" xr:uid="{113A843B-78AB-439A-85E6-B8E7F11878A6}"/>
    <cellStyle name="20% - Accent6 2 43" xfId="235" xr:uid="{00000000-0005-0000-0000-0000EA000000}"/>
    <cellStyle name="20% - Accent6 2 43 2" xfId="2229" xr:uid="{6142BEEC-1220-4806-88C7-B8A8E4743F21}"/>
    <cellStyle name="20% - Accent6 2 44" xfId="236" xr:uid="{00000000-0005-0000-0000-0000EB000000}"/>
    <cellStyle name="20% - Accent6 2 44 2" xfId="2230" xr:uid="{F913704B-B08C-4254-890D-253C20E61709}"/>
    <cellStyle name="20% - Accent6 2 45" xfId="237" xr:uid="{00000000-0005-0000-0000-0000EC000000}"/>
    <cellStyle name="20% - Accent6 2 45 2" xfId="2231" xr:uid="{F8A8DFFC-07E5-4C44-BC16-557642F46C20}"/>
    <cellStyle name="20% - Accent6 2 46" xfId="238" xr:uid="{00000000-0005-0000-0000-0000ED000000}"/>
    <cellStyle name="20% - Accent6 2 46 2" xfId="2232" xr:uid="{EE3EAD77-6454-4B28-98C9-06F2F71753D5}"/>
    <cellStyle name="20% - Accent6 2 47" xfId="239" xr:uid="{00000000-0005-0000-0000-0000EE000000}"/>
    <cellStyle name="20% - Accent6 2 47 2" xfId="2233" xr:uid="{5C79B74C-5B6E-409C-8760-A75A6DCB16A8}"/>
    <cellStyle name="20% - Accent6 2 48" xfId="240" xr:uid="{00000000-0005-0000-0000-0000EF000000}"/>
    <cellStyle name="20% - Accent6 2 48 2" xfId="2234" xr:uid="{FCA77BCB-E73D-42F9-AB5F-B49C97D9D644}"/>
    <cellStyle name="20% - Accent6 2 49" xfId="241" xr:uid="{00000000-0005-0000-0000-0000F0000000}"/>
    <cellStyle name="20% - Accent6 2 49 2" xfId="2235" xr:uid="{561F465E-FD61-4C0A-B6ED-9D3CF0812E10}"/>
    <cellStyle name="20% - Accent6 2 5" xfId="242" xr:uid="{00000000-0005-0000-0000-0000F1000000}"/>
    <cellStyle name="20% - Accent6 2 5 2" xfId="2236" xr:uid="{FE9F9C79-CC35-469B-AB5C-082F0C94D20E}"/>
    <cellStyle name="20% - Accent6 2 50" xfId="2192" xr:uid="{D4C56306-F31E-4D42-A071-2A2A09E8639C}"/>
    <cellStyle name="20% - Accent6 2 6" xfId="243" xr:uid="{00000000-0005-0000-0000-0000F2000000}"/>
    <cellStyle name="20% - Accent6 2 6 2" xfId="2237" xr:uid="{57D3EE16-2D6F-4275-B7D1-024BF9CFB49F}"/>
    <cellStyle name="20% - Accent6 2 7" xfId="244" xr:uid="{00000000-0005-0000-0000-0000F3000000}"/>
    <cellStyle name="20% - Accent6 2 7 2" xfId="2238" xr:uid="{6C795B26-BBC6-4FBC-9890-24F47D2CDC3D}"/>
    <cellStyle name="20% - Accent6 2 8" xfId="245" xr:uid="{00000000-0005-0000-0000-0000F4000000}"/>
    <cellStyle name="20% - Accent6 2 8 2" xfId="2239" xr:uid="{37A8E176-A55A-44FB-956C-1B0154F83584}"/>
    <cellStyle name="20% - Accent6 2 9" xfId="246" xr:uid="{00000000-0005-0000-0000-0000F5000000}"/>
    <cellStyle name="20% - Accent6 2 9 2" xfId="2240" xr:uid="{57C534CB-8B1F-4E98-8907-ED632CC37578}"/>
    <cellStyle name="40% - Accent1 2" xfId="247" xr:uid="{00000000-0005-0000-0000-0000F6000000}"/>
    <cellStyle name="40% - Accent1 2 10" xfId="248" xr:uid="{00000000-0005-0000-0000-0000F7000000}"/>
    <cellStyle name="40% - Accent1 2 10 2" xfId="2242" xr:uid="{ED824C53-97C5-4E16-AE50-CDDC7A021DB9}"/>
    <cellStyle name="40% - Accent1 2 11" xfId="249" xr:uid="{00000000-0005-0000-0000-0000F8000000}"/>
    <cellStyle name="40% - Accent1 2 11 2" xfId="2243" xr:uid="{7D0CD756-B3CE-41A2-89ED-4C9872035F3F}"/>
    <cellStyle name="40% - Accent1 2 12" xfId="250" xr:uid="{00000000-0005-0000-0000-0000F9000000}"/>
    <cellStyle name="40% - Accent1 2 12 2" xfId="2244" xr:uid="{B6A59429-3B02-4302-8976-4C07C880957F}"/>
    <cellStyle name="40% - Accent1 2 13" xfId="251" xr:uid="{00000000-0005-0000-0000-0000FA000000}"/>
    <cellStyle name="40% - Accent1 2 13 2" xfId="2245" xr:uid="{63B90D47-A9C1-4EA1-9F9D-8C7AC6DF149F}"/>
    <cellStyle name="40% - Accent1 2 14" xfId="252" xr:uid="{00000000-0005-0000-0000-0000FB000000}"/>
    <cellStyle name="40% - Accent1 2 14 2" xfId="2246" xr:uid="{A03A5A58-0E19-4278-8043-A1F37D81B614}"/>
    <cellStyle name="40% - Accent1 2 15" xfId="253" xr:uid="{00000000-0005-0000-0000-0000FC000000}"/>
    <cellStyle name="40% - Accent1 2 15 2" xfId="2247" xr:uid="{76C567A8-7B8B-454A-8C75-0CCBEFCEFDFF}"/>
    <cellStyle name="40% - Accent1 2 16" xfId="254" xr:uid="{00000000-0005-0000-0000-0000FD000000}"/>
    <cellStyle name="40% - Accent1 2 16 2" xfId="2248" xr:uid="{A2CE0408-FA20-412C-AC88-56AACC7F1DB3}"/>
    <cellStyle name="40% - Accent1 2 17" xfId="255" xr:uid="{00000000-0005-0000-0000-0000FE000000}"/>
    <cellStyle name="40% - Accent1 2 17 2" xfId="2249" xr:uid="{6DEB63DC-E070-4FF4-B6DE-27B81310A225}"/>
    <cellStyle name="40% - Accent1 2 18" xfId="256" xr:uid="{00000000-0005-0000-0000-0000FF000000}"/>
    <cellStyle name="40% - Accent1 2 18 2" xfId="2250" xr:uid="{E71772CE-35C7-4807-A1E1-1E338F22AAF3}"/>
    <cellStyle name="40% - Accent1 2 19" xfId="257" xr:uid="{00000000-0005-0000-0000-000000010000}"/>
    <cellStyle name="40% - Accent1 2 19 2" xfId="2251" xr:uid="{59BE0793-AE9A-4E90-9B21-940C217A2260}"/>
    <cellStyle name="40% - Accent1 2 2" xfId="258" xr:uid="{00000000-0005-0000-0000-000001010000}"/>
    <cellStyle name="40% - Accent1 2 2 2" xfId="2252" xr:uid="{7768C3E6-FC21-418C-8C95-430A215A4DCC}"/>
    <cellStyle name="40% - Accent1 2 20" xfId="259" xr:uid="{00000000-0005-0000-0000-000002010000}"/>
    <cellStyle name="40% - Accent1 2 20 2" xfId="2253" xr:uid="{68831900-4B22-4BAC-BFE7-BBAB9A112A25}"/>
    <cellStyle name="40% - Accent1 2 21" xfId="260" xr:uid="{00000000-0005-0000-0000-000003010000}"/>
    <cellStyle name="40% - Accent1 2 21 2" xfId="2254" xr:uid="{E32217B4-78A3-470B-BA32-6C1AFDA24787}"/>
    <cellStyle name="40% - Accent1 2 22" xfId="261" xr:uid="{00000000-0005-0000-0000-000004010000}"/>
    <cellStyle name="40% - Accent1 2 22 2" xfId="2255" xr:uid="{5F9564F5-5DCB-44DD-AD94-5D436AFF1677}"/>
    <cellStyle name="40% - Accent1 2 23" xfId="262" xr:uid="{00000000-0005-0000-0000-000005010000}"/>
    <cellStyle name="40% - Accent1 2 23 2" xfId="2256" xr:uid="{F0A74779-E0DB-4AB8-926B-67698980B89C}"/>
    <cellStyle name="40% - Accent1 2 24" xfId="263" xr:uid="{00000000-0005-0000-0000-000006010000}"/>
    <cellStyle name="40% - Accent1 2 24 2" xfId="2257" xr:uid="{B7334CCC-1831-4728-B13D-3361002C70EC}"/>
    <cellStyle name="40% - Accent1 2 25" xfId="264" xr:uid="{00000000-0005-0000-0000-000007010000}"/>
    <cellStyle name="40% - Accent1 2 25 2" xfId="2258" xr:uid="{D2810D86-FA0C-4203-A200-4DACD9800748}"/>
    <cellStyle name="40% - Accent1 2 26" xfId="265" xr:uid="{00000000-0005-0000-0000-000008010000}"/>
    <cellStyle name="40% - Accent1 2 26 2" xfId="2259" xr:uid="{9B9B781D-CA9F-4746-8705-762B068C4790}"/>
    <cellStyle name="40% - Accent1 2 27" xfId="266" xr:uid="{00000000-0005-0000-0000-000009010000}"/>
    <cellStyle name="40% - Accent1 2 27 2" xfId="2260" xr:uid="{FF979E73-4705-4FA4-BF09-DC2903FDD5C6}"/>
    <cellStyle name="40% - Accent1 2 28" xfId="267" xr:uid="{00000000-0005-0000-0000-00000A010000}"/>
    <cellStyle name="40% - Accent1 2 28 2" xfId="2261" xr:uid="{B6036C5A-9B1B-4003-BFE3-D882EE38C557}"/>
    <cellStyle name="40% - Accent1 2 29" xfId="268" xr:uid="{00000000-0005-0000-0000-00000B010000}"/>
    <cellStyle name="40% - Accent1 2 29 2" xfId="2262" xr:uid="{F1BF3DBA-6553-4126-A4DD-504DD72B0BE1}"/>
    <cellStyle name="40% - Accent1 2 3" xfId="269" xr:uid="{00000000-0005-0000-0000-00000C010000}"/>
    <cellStyle name="40% - Accent1 2 3 2" xfId="2263" xr:uid="{E1B4DA1F-FC08-46D9-9162-8FC6BF875825}"/>
    <cellStyle name="40% - Accent1 2 30" xfId="270" xr:uid="{00000000-0005-0000-0000-00000D010000}"/>
    <cellStyle name="40% - Accent1 2 30 2" xfId="2264" xr:uid="{B991F63F-B9C1-404D-B5FA-688358CE253E}"/>
    <cellStyle name="40% - Accent1 2 31" xfId="271" xr:uid="{00000000-0005-0000-0000-00000E010000}"/>
    <cellStyle name="40% - Accent1 2 31 2" xfId="2265" xr:uid="{00F9656A-4608-43B3-B5DD-39D30494FF40}"/>
    <cellStyle name="40% - Accent1 2 32" xfId="272" xr:uid="{00000000-0005-0000-0000-00000F010000}"/>
    <cellStyle name="40% - Accent1 2 32 2" xfId="2266" xr:uid="{6BC94AE3-B15B-4BFC-BB53-016A293E846E}"/>
    <cellStyle name="40% - Accent1 2 33" xfId="273" xr:uid="{00000000-0005-0000-0000-000010010000}"/>
    <cellStyle name="40% - Accent1 2 33 2" xfId="2267" xr:uid="{338E75E4-2681-4A9A-BD93-260DB5B35194}"/>
    <cellStyle name="40% - Accent1 2 34" xfId="274" xr:uid="{00000000-0005-0000-0000-000011010000}"/>
    <cellStyle name="40% - Accent1 2 34 2" xfId="2268" xr:uid="{2022BC72-67AE-4FC3-A8AB-EBA405441C94}"/>
    <cellStyle name="40% - Accent1 2 35" xfId="275" xr:uid="{00000000-0005-0000-0000-000012010000}"/>
    <cellStyle name="40% - Accent1 2 35 2" xfId="2269" xr:uid="{1916D8B0-2EDE-4001-B56C-F7C9DF59F90C}"/>
    <cellStyle name="40% - Accent1 2 36" xfId="276" xr:uid="{00000000-0005-0000-0000-000013010000}"/>
    <cellStyle name="40% - Accent1 2 36 2" xfId="2270" xr:uid="{937CCEEF-1384-452A-A4C4-AF511F163CAA}"/>
    <cellStyle name="40% - Accent1 2 37" xfId="277" xr:uid="{00000000-0005-0000-0000-000014010000}"/>
    <cellStyle name="40% - Accent1 2 37 2" xfId="2271" xr:uid="{29FE883B-C823-442C-A681-CF6B55DD0545}"/>
    <cellStyle name="40% - Accent1 2 38" xfId="278" xr:uid="{00000000-0005-0000-0000-000015010000}"/>
    <cellStyle name="40% - Accent1 2 38 2" xfId="2272" xr:uid="{70024163-AE76-40AD-8ED5-D8ABB094654A}"/>
    <cellStyle name="40% - Accent1 2 39" xfId="279" xr:uid="{00000000-0005-0000-0000-000016010000}"/>
    <cellStyle name="40% - Accent1 2 39 2" xfId="2273" xr:uid="{F11390E0-D81F-4447-8A32-5D23E22B0988}"/>
    <cellStyle name="40% - Accent1 2 4" xfId="280" xr:uid="{00000000-0005-0000-0000-000017010000}"/>
    <cellStyle name="40% - Accent1 2 4 2" xfId="2274" xr:uid="{F9930407-35B9-4DCC-ACD3-26D3B27D1B1B}"/>
    <cellStyle name="40% - Accent1 2 40" xfId="281" xr:uid="{00000000-0005-0000-0000-000018010000}"/>
    <cellStyle name="40% - Accent1 2 40 2" xfId="2275" xr:uid="{799E166E-13F4-4E4E-9A06-21FD60C99D14}"/>
    <cellStyle name="40% - Accent1 2 41" xfId="282" xr:uid="{00000000-0005-0000-0000-000019010000}"/>
    <cellStyle name="40% - Accent1 2 41 2" xfId="2276" xr:uid="{33317D2C-86B9-4A41-98FB-242B75D47F81}"/>
    <cellStyle name="40% - Accent1 2 42" xfId="283" xr:uid="{00000000-0005-0000-0000-00001A010000}"/>
    <cellStyle name="40% - Accent1 2 42 2" xfId="2277" xr:uid="{84850C89-20D3-43A9-BB7A-230866091CCD}"/>
    <cellStyle name="40% - Accent1 2 43" xfId="284" xr:uid="{00000000-0005-0000-0000-00001B010000}"/>
    <cellStyle name="40% - Accent1 2 43 2" xfId="2278" xr:uid="{E022BABA-2B5A-4443-A28D-6BE9BDA7BE1E}"/>
    <cellStyle name="40% - Accent1 2 44" xfId="285" xr:uid="{00000000-0005-0000-0000-00001C010000}"/>
    <cellStyle name="40% - Accent1 2 44 2" xfId="2279" xr:uid="{FE4389FA-10D4-4E93-9501-8360FB3370C0}"/>
    <cellStyle name="40% - Accent1 2 45" xfId="286" xr:uid="{00000000-0005-0000-0000-00001D010000}"/>
    <cellStyle name="40% - Accent1 2 45 2" xfId="2280" xr:uid="{4B3B79D2-B1BB-4FFE-A8FC-1CE23B9F34EE}"/>
    <cellStyle name="40% - Accent1 2 46" xfId="287" xr:uid="{00000000-0005-0000-0000-00001E010000}"/>
    <cellStyle name="40% - Accent1 2 46 2" xfId="2281" xr:uid="{DEB6E689-2414-42A0-9A1C-1F2B6D89AA09}"/>
    <cellStyle name="40% - Accent1 2 47" xfId="288" xr:uid="{00000000-0005-0000-0000-00001F010000}"/>
    <cellStyle name="40% - Accent1 2 47 2" xfId="2282" xr:uid="{0C9626FC-BC74-4D14-BAC2-327E38DD9E81}"/>
    <cellStyle name="40% - Accent1 2 48" xfId="289" xr:uid="{00000000-0005-0000-0000-000020010000}"/>
    <cellStyle name="40% - Accent1 2 48 2" xfId="2283" xr:uid="{D7B71DAB-931F-4DFD-B4B2-9C35EF55A059}"/>
    <cellStyle name="40% - Accent1 2 49" xfId="290" xr:uid="{00000000-0005-0000-0000-000021010000}"/>
    <cellStyle name="40% - Accent1 2 49 2" xfId="2284" xr:uid="{A0BEBE2B-753A-4564-9178-3B9A63FF928B}"/>
    <cellStyle name="40% - Accent1 2 5" xfId="291" xr:uid="{00000000-0005-0000-0000-000022010000}"/>
    <cellStyle name="40% - Accent1 2 5 2" xfId="2285" xr:uid="{EE990E82-3706-4FC5-BFC5-FD8D318EBFC8}"/>
    <cellStyle name="40% - Accent1 2 50" xfId="2241" xr:uid="{E306A389-8EE6-416B-813A-FD5389AED0EB}"/>
    <cellStyle name="40% - Accent1 2 6" xfId="292" xr:uid="{00000000-0005-0000-0000-000023010000}"/>
    <cellStyle name="40% - Accent1 2 6 2" xfId="2286" xr:uid="{E567A4D5-D41F-4D7F-9664-AEF84CDF5247}"/>
    <cellStyle name="40% - Accent1 2 7" xfId="293" xr:uid="{00000000-0005-0000-0000-000024010000}"/>
    <cellStyle name="40% - Accent1 2 7 2" xfId="2287" xr:uid="{16C47B26-6C14-4CB1-B5FD-49C8B4D11A7E}"/>
    <cellStyle name="40% - Accent1 2 8" xfId="294" xr:uid="{00000000-0005-0000-0000-000025010000}"/>
    <cellStyle name="40% - Accent1 2 8 2" xfId="2288" xr:uid="{86CBA54E-0542-454B-8487-0E4D21F45046}"/>
    <cellStyle name="40% - Accent1 2 9" xfId="295" xr:uid="{00000000-0005-0000-0000-000026010000}"/>
    <cellStyle name="40% - Accent1 2 9 2" xfId="2289" xr:uid="{4F7C2AFE-F83B-40E3-A7F7-87A5D778BB87}"/>
    <cellStyle name="40% - Accent2" xfId="296" builtinId="35" customBuiltin="1"/>
    <cellStyle name="40% - Accent2 2" xfId="2290" xr:uid="{D2E23F86-BBBB-49CF-93DA-30E264A8D900}"/>
    <cellStyle name="40% - Accent3 2" xfId="297" xr:uid="{00000000-0005-0000-0000-000028010000}"/>
    <cellStyle name="40% - Accent3 2 10" xfId="298" xr:uid="{00000000-0005-0000-0000-000029010000}"/>
    <cellStyle name="40% - Accent3 2 10 2" xfId="2292" xr:uid="{E9FEA2AE-97E9-44F2-A8A1-93CAABB355B1}"/>
    <cellStyle name="40% - Accent3 2 11" xfId="299" xr:uid="{00000000-0005-0000-0000-00002A010000}"/>
    <cellStyle name="40% - Accent3 2 11 2" xfId="2293" xr:uid="{55674154-0F1C-49D7-80A2-DC72197D03EB}"/>
    <cellStyle name="40% - Accent3 2 12" xfId="300" xr:uid="{00000000-0005-0000-0000-00002B010000}"/>
    <cellStyle name="40% - Accent3 2 12 2" xfId="2294" xr:uid="{D884763A-1A23-49C6-9CD2-E3FC7289CBB7}"/>
    <cellStyle name="40% - Accent3 2 13" xfId="301" xr:uid="{00000000-0005-0000-0000-00002C010000}"/>
    <cellStyle name="40% - Accent3 2 13 2" xfId="2295" xr:uid="{91859DF5-44A6-40AA-BCED-E7B222177314}"/>
    <cellStyle name="40% - Accent3 2 14" xfId="302" xr:uid="{00000000-0005-0000-0000-00002D010000}"/>
    <cellStyle name="40% - Accent3 2 14 2" xfId="2296" xr:uid="{D528F7DE-EE0D-4499-9F88-94B965006E8A}"/>
    <cellStyle name="40% - Accent3 2 15" xfId="303" xr:uid="{00000000-0005-0000-0000-00002E010000}"/>
    <cellStyle name="40% - Accent3 2 15 2" xfId="2297" xr:uid="{ADFCF3DB-EDD0-4D82-9020-997071A7D0AF}"/>
    <cellStyle name="40% - Accent3 2 16" xfId="304" xr:uid="{00000000-0005-0000-0000-00002F010000}"/>
    <cellStyle name="40% - Accent3 2 16 2" xfId="2298" xr:uid="{DA905B54-8B9C-4A83-A985-6F5105887C43}"/>
    <cellStyle name="40% - Accent3 2 17" xfId="305" xr:uid="{00000000-0005-0000-0000-000030010000}"/>
    <cellStyle name="40% - Accent3 2 17 2" xfId="2299" xr:uid="{DE5764F4-12AE-43FC-BB68-998229258557}"/>
    <cellStyle name="40% - Accent3 2 18" xfId="306" xr:uid="{00000000-0005-0000-0000-000031010000}"/>
    <cellStyle name="40% - Accent3 2 18 2" xfId="2300" xr:uid="{9E9D746C-2F4B-4DCE-9E72-9D54071CC4EF}"/>
    <cellStyle name="40% - Accent3 2 19" xfId="307" xr:uid="{00000000-0005-0000-0000-000032010000}"/>
    <cellStyle name="40% - Accent3 2 19 2" xfId="2301" xr:uid="{3D44196E-FFD6-4C38-BB6D-D5CB90842D68}"/>
    <cellStyle name="40% - Accent3 2 2" xfId="308" xr:uid="{00000000-0005-0000-0000-000033010000}"/>
    <cellStyle name="40% - Accent3 2 2 2" xfId="2302" xr:uid="{207EA113-F340-40AF-8CE7-07ECEE46D811}"/>
    <cellStyle name="40% - Accent3 2 20" xfId="309" xr:uid="{00000000-0005-0000-0000-000034010000}"/>
    <cellStyle name="40% - Accent3 2 20 2" xfId="2303" xr:uid="{533BD5F9-5D6F-4ADA-A3A4-2EEAFF2C1E5B}"/>
    <cellStyle name="40% - Accent3 2 21" xfId="310" xr:uid="{00000000-0005-0000-0000-000035010000}"/>
    <cellStyle name="40% - Accent3 2 21 2" xfId="2304" xr:uid="{217B4623-D7DF-46F5-A304-4279DA586AFB}"/>
    <cellStyle name="40% - Accent3 2 22" xfId="311" xr:uid="{00000000-0005-0000-0000-000036010000}"/>
    <cellStyle name="40% - Accent3 2 22 2" xfId="2305" xr:uid="{C8AC5C1A-0FA0-46D3-AF4B-184D41358853}"/>
    <cellStyle name="40% - Accent3 2 23" xfId="312" xr:uid="{00000000-0005-0000-0000-000037010000}"/>
    <cellStyle name="40% - Accent3 2 23 2" xfId="2306" xr:uid="{7BB72C95-D840-4F7B-A2F1-78F8511AA673}"/>
    <cellStyle name="40% - Accent3 2 24" xfId="313" xr:uid="{00000000-0005-0000-0000-000038010000}"/>
    <cellStyle name="40% - Accent3 2 24 2" xfId="2307" xr:uid="{B3442613-A0DA-4475-9FB7-F4E7D15AC4B5}"/>
    <cellStyle name="40% - Accent3 2 25" xfId="314" xr:uid="{00000000-0005-0000-0000-000039010000}"/>
    <cellStyle name="40% - Accent3 2 25 2" xfId="2308" xr:uid="{0929EA2C-5C53-4905-89E8-7CAE0E6EA251}"/>
    <cellStyle name="40% - Accent3 2 26" xfId="315" xr:uid="{00000000-0005-0000-0000-00003A010000}"/>
    <cellStyle name="40% - Accent3 2 26 2" xfId="2309" xr:uid="{E1AD349E-5E42-4089-AB34-BB8248C06018}"/>
    <cellStyle name="40% - Accent3 2 27" xfId="316" xr:uid="{00000000-0005-0000-0000-00003B010000}"/>
    <cellStyle name="40% - Accent3 2 27 2" xfId="2310" xr:uid="{81439985-2600-4608-8C48-FF7166CD1CD4}"/>
    <cellStyle name="40% - Accent3 2 28" xfId="317" xr:uid="{00000000-0005-0000-0000-00003C010000}"/>
    <cellStyle name="40% - Accent3 2 28 2" xfId="2311" xr:uid="{360FDDB1-F076-46F8-B7C0-9FF89FE943E4}"/>
    <cellStyle name="40% - Accent3 2 29" xfId="318" xr:uid="{00000000-0005-0000-0000-00003D010000}"/>
    <cellStyle name="40% - Accent3 2 29 2" xfId="2312" xr:uid="{7F3C144E-6EBB-49A9-BF09-C848C3DE14A2}"/>
    <cellStyle name="40% - Accent3 2 3" xfId="319" xr:uid="{00000000-0005-0000-0000-00003E010000}"/>
    <cellStyle name="40% - Accent3 2 3 2" xfId="2313" xr:uid="{A86151D2-5E51-45B8-8A99-051A6BDB007E}"/>
    <cellStyle name="40% - Accent3 2 30" xfId="320" xr:uid="{00000000-0005-0000-0000-00003F010000}"/>
    <cellStyle name="40% - Accent3 2 30 2" xfId="2314" xr:uid="{71EDF040-D9DC-45B5-87F0-103B8B6B0616}"/>
    <cellStyle name="40% - Accent3 2 31" xfId="321" xr:uid="{00000000-0005-0000-0000-000040010000}"/>
    <cellStyle name="40% - Accent3 2 31 2" xfId="2315" xr:uid="{061AFE38-B3C2-4D17-BFE1-ECF42C029E6C}"/>
    <cellStyle name="40% - Accent3 2 32" xfId="322" xr:uid="{00000000-0005-0000-0000-000041010000}"/>
    <cellStyle name="40% - Accent3 2 32 2" xfId="2316" xr:uid="{CE302C09-E788-4F05-809E-5410CC43DD36}"/>
    <cellStyle name="40% - Accent3 2 33" xfId="323" xr:uid="{00000000-0005-0000-0000-000042010000}"/>
    <cellStyle name="40% - Accent3 2 33 2" xfId="2317" xr:uid="{099B429C-46C7-46A1-9BD2-BA5BEB916497}"/>
    <cellStyle name="40% - Accent3 2 34" xfId="324" xr:uid="{00000000-0005-0000-0000-000043010000}"/>
    <cellStyle name="40% - Accent3 2 34 2" xfId="2318" xr:uid="{B0519501-2E86-4F5B-86FD-93CB98F2330F}"/>
    <cellStyle name="40% - Accent3 2 35" xfId="325" xr:uid="{00000000-0005-0000-0000-000044010000}"/>
    <cellStyle name="40% - Accent3 2 35 2" xfId="2319" xr:uid="{38EBD0EB-490B-472E-933E-A40D4D19725A}"/>
    <cellStyle name="40% - Accent3 2 36" xfId="326" xr:uid="{00000000-0005-0000-0000-000045010000}"/>
    <cellStyle name="40% - Accent3 2 36 2" xfId="2320" xr:uid="{76003A5F-7A7D-45C6-9A9C-7F5CBB3710FB}"/>
    <cellStyle name="40% - Accent3 2 37" xfId="327" xr:uid="{00000000-0005-0000-0000-000046010000}"/>
    <cellStyle name="40% - Accent3 2 37 2" xfId="2321" xr:uid="{2FA8062A-CBDB-46E3-8DC4-A09AEAE82A7D}"/>
    <cellStyle name="40% - Accent3 2 38" xfId="328" xr:uid="{00000000-0005-0000-0000-000047010000}"/>
    <cellStyle name="40% - Accent3 2 38 2" xfId="2322" xr:uid="{CD5F8F36-EA3B-42BB-831F-4AD382F34AE3}"/>
    <cellStyle name="40% - Accent3 2 39" xfId="329" xr:uid="{00000000-0005-0000-0000-000048010000}"/>
    <cellStyle name="40% - Accent3 2 39 2" xfId="2323" xr:uid="{ECE13E23-B97A-4FAD-9512-5BD7541D6F08}"/>
    <cellStyle name="40% - Accent3 2 4" xfId="330" xr:uid="{00000000-0005-0000-0000-000049010000}"/>
    <cellStyle name="40% - Accent3 2 4 2" xfId="2324" xr:uid="{14A1A53D-4D34-4A14-8A92-0C091E79876A}"/>
    <cellStyle name="40% - Accent3 2 40" xfId="331" xr:uid="{00000000-0005-0000-0000-00004A010000}"/>
    <cellStyle name="40% - Accent3 2 40 2" xfId="2325" xr:uid="{49EA135C-C9A4-4C0B-97BD-7D90E5378A7A}"/>
    <cellStyle name="40% - Accent3 2 41" xfId="332" xr:uid="{00000000-0005-0000-0000-00004B010000}"/>
    <cellStyle name="40% - Accent3 2 41 2" xfId="2326" xr:uid="{10A36773-D320-4CA6-9753-95495EA950DC}"/>
    <cellStyle name="40% - Accent3 2 42" xfId="333" xr:uid="{00000000-0005-0000-0000-00004C010000}"/>
    <cellStyle name="40% - Accent3 2 42 2" xfId="2327" xr:uid="{10E91577-AE5F-41BA-A994-BEEDD9179CE4}"/>
    <cellStyle name="40% - Accent3 2 43" xfId="334" xr:uid="{00000000-0005-0000-0000-00004D010000}"/>
    <cellStyle name="40% - Accent3 2 43 2" xfId="2328" xr:uid="{56BE3531-1FE1-46E6-B5F7-45BAE35EF43B}"/>
    <cellStyle name="40% - Accent3 2 44" xfId="335" xr:uid="{00000000-0005-0000-0000-00004E010000}"/>
    <cellStyle name="40% - Accent3 2 44 2" xfId="2329" xr:uid="{B0220BD3-F7D6-47BC-AC9C-F78705A1CDF5}"/>
    <cellStyle name="40% - Accent3 2 45" xfId="336" xr:uid="{00000000-0005-0000-0000-00004F010000}"/>
    <cellStyle name="40% - Accent3 2 45 2" xfId="2330" xr:uid="{23F917D6-F9D3-47C1-8895-497F8090191F}"/>
    <cellStyle name="40% - Accent3 2 46" xfId="337" xr:uid="{00000000-0005-0000-0000-000050010000}"/>
    <cellStyle name="40% - Accent3 2 46 2" xfId="2331" xr:uid="{0A4E1844-67E3-4A60-ABE6-B18BA712CC1D}"/>
    <cellStyle name="40% - Accent3 2 47" xfId="338" xr:uid="{00000000-0005-0000-0000-000051010000}"/>
    <cellStyle name="40% - Accent3 2 47 2" xfId="2332" xr:uid="{9C4B9017-2C0A-417A-8FB8-07545359FF07}"/>
    <cellStyle name="40% - Accent3 2 48" xfId="339" xr:uid="{00000000-0005-0000-0000-000052010000}"/>
    <cellStyle name="40% - Accent3 2 48 2" xfId="2333" xr:uid="{ACDAD39D-2636-43B6-8556-233C426F0E5B}"/>
    <cellStyle name="40% - Accent3 2 49" xfId="340" xr:uid="{00000000-0005-0000-0000-000053010000}"/>
    <cellStyle name="40% - Accent3 2 49 2" xfId="2334" xr:uid="{D7565DB9-EE76-4457-BECF-0A8366EA6C90}"/>
    <cellStyle name="40% - Accent3 2 5" xfId="341" xr:uid="{00000000-0005-0000-0000-000054010000}"/>
    <cellStyle name="40% - Accent3 2 5 2" xfId="2335" xr:uid="{E5C52B10-27C9-4B0C-8E07-2A4A740CD817}"/>
    <cellStyle name="40% - Accent3 2 50" xfId="2291" xr:uid="{305F7F74-2C55-4289-8F30-DBEB6A0038EA}"/>
    <cellStyle name="40% - Accent3 2 6" xfId="342" xr:uid="{00000000-0005-0000-0000-000055010000}"/>
    <cellStyle name="40% - Accent3 2 6 2" xfId="2336" xr:uid="{10EE8FBE-D8FE-4A60-BE38-7EF98034F9E4}"/>
    <cellStyle name="40% - Accent3 2 7" xfId="343" xr:uid="{00000000-0005-0000-0000-000056010000}"/>
    <cellStyle name="40% - Accent3 2 7 2" xfId="2337" xr:uid="{24591CC9-8D4E-4EE2-97A9-FD5266CD2411}"/>
    <cellStyle name="40% - Accent3 2 8" xfId="344" xr:uid="{00000000-0005-0000-0000-000057010000}"/>
    <cellStyle name="40% - Accent3 2 8 2" xfId="2338" xr:uid="{C27C3933-3B28-4612-B4D5-29E57027B679}"/>
    <cellStyle name="40% - Accent3 2 9" xfId="345" xr:uid="{00000000-0005-0000-0000-000058010000}"/>
    <cellStyle name="40% - Accent3 2 9 2" xfId="2339" xr:uid="{E82EE060-8517-407B-B775-A79BE353E665}"/>
    <cellStyle name="40% - Accent4 2" xfId="346" xr:uid="{00000000-0005-0000-0000-000059010000}"/>
    <cellStyle name="40% - Accent4 2 10" xfId="347" xr:uid="{00000000-0005-0000-0000-00005A010000}"/>
    <cellStyle name="40% - Accent4 2 10 2" xfId="2341" xr:uid="{C5AD1879-7907-4D5D-88D3-31E82E19D9BA}"/>
    <cellStyle name="40% - Accent4 2 11" xfId="348" xr:uid="{00000000-0005-0000-0000-00005B010000}"/>
    <cellStyle name="40% - Accent4 2 11 2" xfId="2342" xr:uid="{A47F49B6-5285-4E70-8956-9C68E7C7CE9F}"/>
    <cellStyle name="40% - Accent4 2 12" xfId="349" xr:uid="{00000000-0005-0000-0000-00005C010000}"/>
    <cellStyle name="40% - Accent4 2 12 2" xfId="2343" xr:uid="{9172CD72-C1FB-4252-8324-6DE7911FB6B4}"/>
    <cellStyle name="40% - Accent4 2 13" xfId="350" xr:uid="{00000000-0005-0000-0000-00005D010000}"/>
    <cellStyle name="40% - Accent4 2 13 2" xfId="2344" xr:uid="{E235EBC9-21BC-4EEA-9EDB-4FD16BB29ADB}"/>
    <cellStyle name="40% - Accent4 2 14" xfId="351" xr:uid="{00000000-0005-0000-0000-00005E010000}"/>
    <cellStyle name="40% - Accent4 2 14 2" xfId="2345" xr:uid="{7D1288F0-4203-4FD0-879C-349BF74CA7ED}"/>
    <cellStyle name="40% - Accent4 2 15" xfId="352" xr:uid="{00000000-0005-0000-0000-00005F010000}"/>
    <cellStyle name="40% - Accent4 2 15 2" xfId="2346" xr:uid="{6E2BC93A-6661-49BB-AB6C-9682653F9554}"/>
    <cellStyle name="40% - Accent4 2 16" xfId="353" xr:uid="{00000000-0005-0000-0000-000060010000}"/>
    <cellStyle name="40% - Accent4 2 16 2" xfId="2347" xr:uid="{EA5A00BC-F551-4945-81D1-FD0F90FB774E}"/>
    <cellStyle name="40% - Accent4 2 17" xfId="354" xr:uid="{00000000-0005-0000-0000-000061010000}"/>
    <cellStyle name="40% - Accent4 2 17 2" xfId="2348" xr:uid="{41785B69-95A3-4E18-9059-9A15BCBE8073}"/>
    <cellStyle name="40% - Accent4 2 18" xfId="355" xr:uid="{00000000-0005-0000-0000-000062010000}"/>
    <cellStyle name="40% - Accent4 2 18 2" xfId="2349" xr:uid="{2CA55604-BF5D-4D02-9EE7-772BDA9C1701}"/>
    <cellStyle name="40% - Accent4 2 19" xfId="356" xr:uid="{00000000-0005-0000-0000-000063010000}"/>
    <cellStyle name="40% - Accent4 2 19 2" xfId="2350" xr:uid="{061C6D84-C4D5-4CAE-8E52-BD3C9F0FE27D}"/>
    <cellStyle name="40% - Accent4 2 2" xfId="357" xr:uid="{00000000-0005-0000-0000-000064010000}"/>
    <cellStyle name="40% - Accent4 2 2 2" xfId="2351" xr:uid="{082D0D9C-73F3-44D6-9BFB-40264ED77DC0}"/>
    <cellStyle name="40% - Accent4 2 20" xfId="358" xr:uid="{00000000-0005-0000-0000-000065010000}"/>
    <cellStyle name="40% - Accent4 2 20 2" xfId="2352" xr:uid="{5374EB41-2C35-4278-AD35-4538D0BA6BBE}"/>
    <cellStyle name="40% - Accent4 2 21" xfId="359" xr:uid="{00000000-0005-0000-0000-000066010000}"/>
    <cellStyle name="40% - Accent4 2 21 2" xfId="2353" xr:uid="{8FBBFDAF-D4F7-4AF4-A61D-4AA04DBE7932}"/>
    <cellStyle name="40% - Accent4 2 22" xfId="360" xr:uid="{00000000-0005-0000-0000-000067010000}"/>
    <cellStyle name="40% - Accent4 2 22 2" xfId="2354" xr:uid="{B747B595-1C83-4EAB-BB6B-25A4BA3A22A8}"/>
    <cellStyle name="40% - Accent4 2 23" xfId="361" xr:uid="{00000000-0005-0000-0000-000068010000}"/>
    <cellStyle name="40% - Accent4 2 23 2" xfId="2355" xr:uid="{99125FCC-C05B-4D1A-B7DB-026EA230EEF9}"/>
    <cellStyle name="40% - Accent4 2 24" xfId="362" xr:uid="{00000000-0005-0000-0000-000069010000}"/>
    <cellStyle name="40% - Accent4 2 24 2" xfId="2356" xr:uid="{6922B7FE-84F7-475F-A14F-386469BD2D61}"/>
    <cellStyle name="40% - Accent4 2 25" xfId="363" xr:uid="{00000000-0005-0000-0000-00006A010000}"/>
    <cellStyle name="40% - Accent4 2 25 2" xfId="2357" xr:uid="{B9B6BCE9-9A4F-429B-A863-F97692AFDEE8}"/>
    <cellStyle name="40% - Accent4 2 26" xfId="364" xr:uid="{00000000-0005-0000-0000-00006B010000}"/>
    <cellStyle name="40% - Accent4 2 26 2" xfId="2358" xr:uid="{3D8A4265-6991-434D-9CF4-A3C4A58B0242}"/>
    <cellStyle name="40% - Accent4 2 27" xfId="365" xr:uid="{00000000-0005-0000-0000-00006C010000}"/>
    <cellStyle name="40% - Accent4 2 27 2" xfId="2359" xr:uid="{A3435551-78F8-43AC-8701-09FCE955F379}"/>
    <cellStyle name="40% - Accent4 2 28" xfId="366" xr:uid="{00000000-0005-0000-0000-00006D010000}"/>
    <cellStyle name="40% - Accent4 2 28 2" xfId="2360" xr:uid="{6DC9BC6B-DC90-4E33-AD84-8010E8A20285}"/>
    <cellStyle name="40% - Accent4 2 29" xfId="367" xr:uid="{00000000-0005-0000-0000-00006E010000}"/>
    <cellStyle name="40% - Accent4 2 29 2" xfId="2361" xr:uid="{19E8859E-6004-44AA-B0A5-A3734517A4B9}"/>
    <cellStyle name="40% - Accent4 2 3" xfId="368" xr:uid="{00000000-0005-0000-0000-00006F010000}"/>
    <cellStyle name="40% - Accent4 2 3 2" xfId="2362" xr:uid="{888B2025-09FB-40BF-AFCC-545A15DD8ED3}"/>
    <cellStyle name="40% - Accent4 2 30" xfId="369" xr:uid="{00000000-0005-0000-0000-000070010000}"/>
    <cellStyle name="40% - Accent4 2 30 2" xfId="2363" xr:uid="{7AEBA20A-398A-489A-A054-BC3B63C3C09F}"/>
    <cellStyle name="40% - Accent4 2 31" xfId="370" xr:uid="{00000000-0005-0000-0000-000071010000}"/>
    <cellStyle name="40% - Accent4 2 31 2" xfId="2364" xr:uid="{9B209B82-28C3-4BE3-8A8F-CDFCE9E0B051}"/>
    <cellStyle name="40% - Accent4 2 32" xfId="371" xr:uid="{00000000-0005-0000-0000-000072010000}"/>
    <cellStyle name="40% - Accent4 2 32 2" xfId="2365" xr:uid="{2B65EF79-6578-4731-A394-743BC11D42A9}"/>
    <cellStyle name="40% - Accent4 2 33" xfId="372" xr:uid="{00000000-0005-0000-0000-000073010000}"/>
    <cellStyle name="40% - Accent4 2 33 2" xfId="2366" xr:uid="{DD0B56E3-A016-4E04-BA91-A180F6888B01}"/>
    <cellStyle name="40% - Accent4 2 34" xfId="373" xr:uid="{00000000-0005-0000-0000-000074010000}"/>
    <cellStyle name="40% - Accent4 2 34 2" xfId="2367" xr:uid="{49CD35B6-6555-4B74-8649-4E3EF9444D77}"/>
    <cellStyle name="40% - Accent4 2 35" xfId="374" xr:uid="{00000000-0005-0000-0000-000075010000}"/>
    <cellStyle name="40% - Accent4 2 35 2" xfId="2368" xr:uid="{4D8D6F58-3B87-4E85-BB1A-EAB645DA1718}"/>
    <cellStyle name="40% - Accent4 2 36" xfId="375" xr:uid="{00000000-0005-0000-0000-000076010000}"/>
    <cellStyle name="40% - Accent4 2 36 2" xfId="2369" xr:uid="{1FC6883C-1AF6-4792-8457-8F359F658DCF}"/>
    <cellStyle name="40% - Accent4 2 37" xfId="376" xr:uid="{00000000-0005-0000-0000-000077010000}"/>
    <cellStyle name="40% - Accent4 2 37 2" xfId="2370" xr:uid="{20669886-1C73-4E78-890A-0DAC23F1FE14}"/>
    <cellStyle name="40% - Accent4 2 38" xfId="377" xr:uid="{00000000-0005-0000-0000-000078010000}"/>
    <cellStyle name="40% - Accent4 2 38 2" xfId="2371" xr:uid="{4DFAB8A2-5FEA-4BFB-BB7B-BA54E6F05549}"/>
    <cellStyle name="40% - Accent4 2 39" xfId="378" xr:uid="{00000000-0005-0000-0000-000079010000}"/>
    <cellStyle name="40% - Accent4 2 39 2" xfId="2372" xr:uid="{9BF1D186-B092-467E-AD23-CF25E7D48F7D}"/>
    <cellStyle name="40% - Accent4 2 4" xfId="379" xr:uid="{00000000-0005-0000-0000-00007A010000}"/>
    <cellStyle name="40% - Accent4 2 4 2" xfId="2373" xr:uid="{9D7E4B9F-A193-4730-8990-58D0A1AEC6EE}"/>
    <cellStyle name="40% - Accent4 2 40" xfId="380" xr:uid="{00000000-0005-0000-0000-00007B010000}"/>
    <cellStyle name="40% - Accent4 2 40 2" xfId="2374" xr:uid="{BB6CA4CB-A636-49B5-A27B-BDBD6A46A2A6}"/>
    <cellStyle name="40% - Accent4 2 41" xfId="381" xr:uid="{00000000-0005-0000-0000-00007C010000}"/>
    <cellStyle name="40% - Accent4 2 41 2" xfId="2375" xr:uid="{91F2312F-DF2C-4236-8B25-5C41096E98D7}"/>
    <cellStyle name="40% - Accent4 2 42" xfId="382" xr:uid="{00000000-0005-0000-0000-00007D010000}"/>
    <cellStyle name="40% - Accent4 2 42 2" xfId="2376" xr:uid="{F9775F78-23BD-4309-8AD7-AEF7D26F3B49}"/>
    <cellStyle name="40% - Accent4 2 43" xfId="383" xr:uid="{00000000-0005-0000-0000-00007E010000}"/>
    <cellStyle name="40% - Accent4 2 43 2" xfId="2377" xr:uid="{1A35A402-FD63-4D72-9BDE-BC5947DB2851}"/>
    <cellStyle name="40% - Accent4 2 44" xfId="384" xr:uid="{00000000-0005-0000-0000-00007F010000}"/>
    <cellStyle name="40% - Accent4 2 44 2" xfId="2378" xr:uid="{E11D6A21-7659-49D0-A30F-0BFAB2D93FC8}"/>
    <cellStyle name="40% - Accent4 2 45" xfId="385" xr:uid="{00000000-0005-0000-0000-000080010000}"/>
    <cellStyle name="40% - Accent4 2 45 2" xfId="2379" xr:uid="{05D9ED7E-514D-41D3-BBC2-4561C4A3324D}"/>
    <cellStyle name="40% - Accent4 2 46" xfId="386" xr:uid="{00000000-0005-0000-0000-000081010000}"/>
    <cellStyle name="40% - Accent4 2 46 2" xfId="2380" xr:uid="{5547769B-3554-4478-9E49-35DC0D1FC10C}"/>
    <cellStyle name="40% - Accent4 2 47" xfId="387" xr:uid="{00000000-0005-0000-0000-000082010000}"/>
    <cellStyle name="40% - Accent4 2 47 2" xfId="2381" xr:uid="{2777C102-0EDB-4729-8DAA-40C8BCACF979}"/>
    <cellStyle name="40% - Accent4 2 48" xfId="388" xr:uid="{00000000-0005-0000-0000-000083010000}"/>
    <cellStyle name="40% - Accent4 2 48 2" xfId="2382" xr:uid="{684A92E9-60B6-4E01-B7DC-D094E4604E23}"/>
    <cellStyle name="40% - Accent4 2 49" xfId="389" xr:uid="{00000000-0005-0000-0000-000084010000}"/>
    <cellStyle name="40% - Accent4 2 49 2" xfId="2383" xr:uid="{4C6E6BC1-4BAD-4193-8195-8A3E2B90D577}"/>
    <cellStyle name="40% - Accent4 2 5" xfId="390" xr:uid="{00000000-0005-0000-0000-000085010000}"/>
    <cellStyle name="40% - Accent4 2 5 2" xfId="2384" xr:uid="{6AAC7734-26AC-4638-B3E6-AD4909F730AC}"/>
    <cellStyle name="40% - Accent4 2 50" xfId="2340" xr:uid="{44251EE6-F512-484B-8365-6DBE9470BC92}"/>
    <cellStyle name="40% - Accent4 2 6" xfId="391" xr:uid="{00000000-0005-0000-0000-000086010000}"/>
    <cellStyle name="40% - Accent4 2 6 2" xfId="2385" xr:uid="{C3885BFF-2422-4BF7-99E3-E4DA7E2F0D5F}"/>
    <cellStyle name="40% - Accent4 2 7" xfId="392" xr:uid="{00000000-0005-0000-0000-000087010000}"/>
    <cellStyle name="40% - Accent4 2 7 2" xfId="2386" xr:uid="{1DC87C05-C263-45A4-BC1B-3B7CF095A1AC}"/>
    <cellStyle name="40% - Accent4 2 8" xfId="393" xr:uid="{00000000-0005-0000-0000-000088010000}"/>
    <cellStyle name="40% - Accent4 2 8 2" xfId="2387" xr:uid="{42DE8A02-4C60-4AEB-9234-86AD553C489D}"/>
    <cellStyle name="40% - Accent4 2 9" xfId="394" xr:uid="{00000000-0005-0000-0000-000089010000}"/>
    <cellStyle name="40% - Accent4 2 9 2" xfId="2388" xr:uid="{18955430-C979-42EA-B0F1-F5DA6AB9A9F3}"/>
    <cellStyle name="40% - Accent5 2" xfId="395" xr:uid="{00000000-0005-0000-0000-00008A010000}"/>
    <cellStyle name="40% - Accent5 2 10" xfId="396" xr:uid="{00000000-0005-0000-0000-00008B010000}"/>
    <cellStyle name="40% - Accent5 2 10 2" xfId="2390" xr:uid="{2F4B116B-C60C-4494-8210-FFD09009AEED}"/>
    <cellStyle name="40% - Accent5 2 11" xfId="397" xr:uid="{00000000-0005-0000-0000-00008C010000}"/>
    <cellStyle name="40% - Accent5 2 11 2" xfId="2391" xr:uid="{3B3642C0-3DF7-40E4-B606-5C918A063D21}"/>
    <cellStyle name="40% - Accent5 2 12" xfId="398" xr:uid="{00000000-0005-0000-0000-00008D010000}"/>
    <cellStyle name="40% - Accent5 2 12 2" xfId="2392" xr:uid="{E5F04BCB-FD1D-43DF-BD5A-8908EEA33D14}"/>
    <cellStyle name="40% - Accent5 2 13" xfId="399" xr:uid="{00000000-0005-0000-0000-00008E010000}"/>
    <cellStyle name="40% - Accent5 2 13 2" xfId="2393" xr:uid="{AE49BE78-8357-44CD-BC9F-365641C2FED2}"/>
    <cellStyle name="40% - Accent5 2 14" xfId="400" xr:uid="{00000000-0005-0000-0000-00008F010000}"/>
    <cellStyle name="40% - Accent5 2 14 2" xfId="2394" xr:uid="{53653BA0-A536-4905-992B-35DBC261010D}"/>
    <cellStyle name="40% - Accent5 2 15" xfId="401" xr:uid="{00000000-0005-0000-0000-000090010000}"/>
    <cellStyle name="40% - Accent5 2 15 2" xfId="2395" xr:uid="{6514F733-42E3-4FE3-8DAE-975D6E3DFB90}"/>
    <cellStyle name="40% - Accent5 2 16" xfId="402" xr:uid="{00000000-0005-0000-0000-000091010000}"/>
    <cellStyle name="40% - Accent5 2 16 2" xfId="2396" xr:uid="{D625292A-E7A5-4640-8A49-F995830115CD}"/>
    <cellStyle name="40% - Accent5 2 17" xfId="403" xr:uid="{00000000-0005-0000-0000-000092010000}"/>
    <cellStyle name="40% - Accent5 2 17 2" xfId="2397" xr:uid="{D62AEA76-35BB-4A61-9B7D-6D17E0B65ADC}"/>
    <cellStyle name="40% - Accent5 2 18" xfId="404" xr:uid="{00000000-0005-0000-0000-000093010000}"/>
    <cellStyle name="40% - Accent5 2 18 2" xfId="2398" xr:uid="{BDE300BA-DE1B-4576-9E88-8B7CC2528CF3}"/>
    <cellStyle name="40% - Accent5 2 19" xfId="405" xr:uid="{00000000-0005-0000-0000-000094010000}"/>
    <cellStyle name="40% - Accent5 2 19 2" xfId="2399" xr:uid="{A3C92C10-E5CF-4316-9C2E-DAE020E4FD8D}"/>
    <cellStyle name="40% - Accent5 2 2" xfId="406" xr:uid="{00000000-0005-0000-0000-000095010000}"/>
    <cellStyle name="40% - Accent5 2 2 2" xfId="2400" xr:uid="{E8722D51-7594-4677-A052-9D30E610E48E}"/>
    <cellStyle name="40% - Accent5 2 20" xfId="407" xr:uid="{00000000-0005-0000-0000-000096010000}"/>
    <cellStyle name="40% - Accent5 2 20 2" xfId="2401" xr:uid="{DF1761C7-054B-4EF9-8040-72146D62CF6C}"/>
    <cellStyle name="40% - Accent5 2 21" xfId="408" xr:uid="{00000000-0005-0000-0000-000097010000}"/>
    <cellStyle name="40% - Accent5 2 21 2" xfId="2402" xr:uid="{3082DFB2-E49D-4858-9B99-02B4D55A2418}"/>
    <cellStyle name="40% - Accent5 2 22" xfId="409" xr:uid="{00000000-0005-0000-0000-000098010000}"/>
    <cellStyle name="40% - Accent5 2 22 2" xfId="2403" xr:uid="{93021F26-257F-47F3-A80C-8E53D0A5E4E0}"/>
    <cellStyle name="40% - Accent5 2 23" xfId="410" xr:uid="{00000000-0005-0000-0000-000099010000}"/>
    <cellStyle name="40% - Accent5 2 23 2" xfId="2404" xr:uid="{762CD177-EB39-4813-B478-58058CCBDEB6}"/>
    <cellStyle name="40% - Accent5 2 24" xfId="411" xr:uid="{00000000-0005-0000-0000-00009A010000}"/>
    <cellStyle name="40% - Accent5 2 24 2" xfId="2405" xr:uid="{225F4C8D-A7FC-4C1E-A964-8296E2D276F4}"/>
    <cellStyle name="40% - Accent5 2 25" xfId="412" xr:uid="{00000000-0005-0000-0000-00009B010000}"/>
    <cellStyle name="40% - Accent5 2 25 2" xfId="2406" xr:uid="{97EBBE80-0AF5-4537-B828-80F44757F429}"/>
    <cellStyle name="40% - Accent5 2 26" xfId="413" xr:uid="{00000000-0005-0000-0000-00009C010000}"/>
    <cellStyle name="40% - Accent5 2 26 2" xfId="2407" xr:uid="{CCA041CE-16A4-42DA-974F-B3C055ED1B8B}"/>
    <cellStyle name="40% - Accent5 2 27" xfId="414" xr:uid="{00000000-0005-0000-0000-00009D010000}"/>
    <cellStyle name="40% - Accent5 2 27 2" xfId="2408" xr:uid="{F3B163E7-08E5-4577-8294-165A003E7051}"/>
    <cellStyle name="40% - Accent5 2 28" xfId="415" xr:uid="{00000000-0005-0000-0000-00009E010000}"/>
    <cellStyle name="40% - Accent5 2 28 2" xfId="2409" xr:uid="{50B90824-B325-4523-80EC-5BF25CA7AB19}"/>
    <cellStyle name="40% - Accent5 2 29" xfId="416" xr:uid="{00000000-0005-0000-0000-00009F010000}"/>
    <cellStyle name="40% - Accent5 2 29 2" xfId="2410" xr:uid="{881819E1-4F0F-489A-9A43-1307475CDF6D}"/>
    <cellStyle name="40% - Accent5 2 3" xfId="417" xr:uid="{00000000-0005-0000-0000-0000A0010000}"/>
    <cellStyle name="40% - Accent5 2 3 2" xfId="2411" xr:uid="{627FE084-410B-4834-8C76-6A12C3F79B33}"/>
    <cellStyle name="40% - Accent5 2 30" xfId="418" xr:uid="{00000000-0005-0000-0000-0000A1010000}"/>
    <cellStyle name="40% - Accent5 2 30 2" xfId="2412" xr:uid="{26783CE1-9914-497C-B0A0-1FE672CE9BA2}"/>
    <cellStyle name="40% - Accent5 2 31" xfId="419" xr:uid="{00000000-0005-0000-0000-0000A2010000}"/>
    <cellStyle name="40% - Accent5 2 31 2" xfId="2413" xr:uid="{B7D02674-945A-47D8-977D-16F455C1AC15}"/>
    <cellStyle name="40% - Accent5 2 32" xfId="420" xr:uid="{00000000-0005-0000-0000-0000A3010000}"/>
    <cellStyle name="40% - Accent5 2 32 2" xfId="2414" xr:uid="{46B0DB58-A04F-4B3C-B449-CE010C5E84EE}"/>
    <cellStyle name="40% - Accent5 2 33" xfId="421" xr:uid="{00000000-0005-0000-0000-0000A4010000}"/>
    <cellStyle name="40% - Accent5 2 33 2" xfId="2415" xr:uid="{E7F9BB72-B64A-402D-A96F-3B460A977E2B}"/>
    <cellStyle name="40% - Accent5 2 34" xfId="422" xr:uid="{00000000-0005-0000-0000-0000A5010000}"/>
    <cellStyle name="40% - Accent5 2 34 2" xfId="2416" xr:uid="{A2379F8D-AF1F-4A7A-BC42-5B495DCF6126}"/>
    <cellStyle name="40% - Accent5 2 35" xfId="423" xr:uid="{00000000-0005-0000-0000-0000A6010000}"/>
    <cellStyle name="40% - Accent5 2 35 2" xfId="2417" xr:uid="{5E01F8F8-6DC4-4DC6-B0D4-B8276F99A525}"/>
    <cellStyle name="40% - Accent5 2 36" xfId="424" xr:uid="{00000000-0005-0000-0000-0000A7010000}"/>
    <cellStyle name="40% - Accent5 2 36 2" xfId="2418" xr:uid="{25B304D1-5746-4990-AAD8-34C26A9BFF0E}"/>
    <cellStyle name="40% - Accent5 2 37" xfId="425" xr:uid="{00000000-0005-0000-0000-0000A8010000}"/>
    <cellStyle name="40% - Accent5 2 37 2" xfId="2419" xr:uid="{25BECA8B-22D3-49B0-99B8-935F86A54E53}"/>
    <cellStyle name="40% - Accent5 2 38" xfId="426" xr:uid="{00000000-0005-0000-0000-0000A9010000}"/>
    <cellStyle name="40% - Accent5 2 38 2" xfId="2420" xr:uid="{AFB37DA7-61BD-4E6A-B345-2A16FF6BFE4E}"/>
    <cellStyle name="40% - Accent5 2 39" xfId="427" xr:uid="{00000000-0005-0000-0000-0000AA010000}"/>
    <cellStyle name="40% - Accent5 2 39 2" xfId="2421" xr:uid="{2807B268-2965-425B-B892-91C45797AA9D}"/>
    <cellStyle name="40% - Accent5 2 4" xfId="428" xr:uid="{00000000-0005-0000-0000-0000AB010000}"/>
    <cellStyle name="40% - Accent5 2 4 2" xfId="2422" xr:uid="{AEC48155-EE37-4E90-AA85-0E8BBC4E78C5}"/>
    <cellStyle name="40% - Accent5 2 40" xfId="429" xr:uid="{00000000-0005-0000-0000-0000AC010000}"/>
    <cellStyle name="40% - Accent5 2 40 2" xfId="2423" xr:uid="{4C56B328-B2C9-497E-B651-F31D6AD7AC69}"/>
    <cellStyle name="40% - Accent5 2 41" xfId="430" xr:uid="{00000000-0005-0000-0000-0000AD010000}"/>
    <cellStyle name="40% - Accent5 2 41 2" xfId="2424" xr:uid="{5C45AE3B-01BE-4858-94CE-C1B84D8A1C9A}"/>
    <cellStyle name="40% - Accent5 2 42" xfId="431" xr:uid="{00000000-0005-0000-0000-0000AE010000}"/>
    <cellStyle name="40% - Accent5 2 42 2" xfId="2425" xr:uid="{94486DFA-409B-4497-B2A0-432B0C2E7CB4}"/>
    <cellStyle name="40% - Accent5 2 43" xfId="432" xr:uid="{00000000-0005-0000-0000-0000AF010000}"/>
    <cellStyle name="40% - Accent5 2 43 2" xfId="2426" xr:uid="{9BDE9235-A04A-4DDB-A44B-23B78A3B80AD}"/>
    <cellStyle name="40% - Accent5 2 44" xfId="433" xr:uid="{00000000-0005-0000-0000-0000B0010000}"/>
    <cellStyle name="40% - Accent5 2 44 2" xfId="2427" xr:uid="{F0F5227E-85EB-4B89-AAFB-3C5661CEE182}"/>
    <cellStyle name="40% - Accent5 2 45" xfId="434" xr:uid="{00000000-0005-0000-0000-0000B1010000}"/>
    <cellStyle name="40% - Accent5 2 45 2" xfId="2428" xr:uid="{4377AFA8-098E-4847-8D0E-449D771B6979}"/>
    <cellStyle name="40% - Accent5 2 46" xfId="435" xr:uid="{00000000-0005-0000-0000-0000B2010000}"/>
    <cellStyle name="40% - Accent5 2 46 2" xfId="2429" xr:uid="{430EBEBB-3883-4806-9819-0CDDF7661541}"/>
    <cellStyle name="40% - Accent5 2 47" xfId="436" xr:uid="{00000000-0005-0000-0000-0000B3010000}"/>
    <cellStyle name="40% - Accent5 2 47 2" xfId="2430" xr:uid="{6393BC02-E70B-4CDA-9722-66D02C564FEE}"/>
    <cellStyle name="40% - Accent5 2 48" xfId="437" xr:uid="{00000000-0005-0000-0000-0000B4010000}"/>
    <cellStyle name="40% - Accent5 2 48 2" xfId="2431" xr:uid="{C6FE5778-A956-4136-9FCE-9D51163AC54D}"/>
    <cellStyle name="40% - Accent5 2 49" xfId="438" xr:uid="{00000000-0005-0000-0000-0000B5010000}"/>
    <cellStyle name="40% - Accent5 2 49 2" xfId="2432" xr:uid="{EC4006AD-7531-44A0-8DAC-79F79E2F5207}"/>
    <cellStyle name="40% - Accent5 2 5" xfId="439" xr:uid="{00000000-0005-0000-0000-0000B6010000}"/>
    <cellStyle name="40% - Accent5 2 5 2" xfId="2433" xr:uid="{88765C17-FFB5-43EB-9303-88B927E5E433}"/>
    <cellStyle name="40% - Accent5 2 50" xfId="2389" xr:uid="{AF517F0F-04CC-47F9-ABC9-F4C62726CC5C}"/>
    <cellStyle name="40% - Accent5 2 6" xfId="440" xr:uid="{00000000-0005-0000-0000-0000B7010000}"/>
    <cellStyle name="40% - Accent5 2 6 2" xfId="2434" xr:uid="{81BEAEE4-B4AD-4E9F-B4C8-5882C4E67420}"/>
    <cellStyle name="40% - Accent5 2 7" xfId="441" xr:uid="{00000000-0005-0000-0000-0000B8010000}"/>
    <cellStyle name="40% - Accent5 2 7 2" xfId="2435" xr:uid="{DC155F08-EA8E-4A33-96A6-6AC7E76C82D3}"/>
    <cellStyle name="40% - Accent5 2 8" xfId="442" xr:uid="{00000000-0005-0000-0000-0000B9010000}"/>
    <cellStyle name="40% - Accent5 2 8 2" xfId="2436" xr:uid="{59337B72-58BC-43D0-8591-CF7F89DCAC46}"/>
    <cellStyle name="40% - Accent5 2 9" xfId="443" xr:uid="{00000000-0005-0000-0000-0000BA010000}"/>
    <cellStyle name="40% - Accent5 2 9 2" xfId="2437" xr:uid="{D37CF1F0-6A47-4B86-8513-EC57BE5221C4}"/>
    <cellStyle name="40% - Accent6 2" xfId="444" xr:uid="{00000000-0005-0000-0000-0000BB010000}"/>
    <cellStyle name="40% - Accent6 2 10" xfId="445" xr:uid="{00000000-0005-0000-0000-0000BC010000}"/>
    <cellStyle name="40% - Accent6 2 10 2" xfId="2439" xr:uid="{11AA0A25-F42C-44BB-80FD-408230DB9021}"/>
    <cellStyle name="40% - Accent6 2 11" xfId="446" xr:uid="{00000000-0005-0000-0000-0000BD010000}"/>
    <cellStyle name="40% - Accent6 2 11 2" xfId="2440" xr:uid="{245E4F71-F535-4EEF-BB4F-BED0E0989AFA}"/>
    <cellStyle name="40% - Accent6 2 12" xfId="447" xr:uid="{00000000-0005-0000-0000-0000BE010000}"/>
    <cellStyle name="40% - Accent6 2 12 2" xfId="2441" xr:uid="{7EC0D1A1-6730-4875-B75A-A11E0073EE1B}"/>
    <cellStyle name="40% - Accent6 2 13" xfId="448" xr:uid="{00000000-0005-0000-0000-0000BF010000}"/>
    <cellStyle name="40% - Accent6 2 13 2" xfId="2442" xr:uid="{A4D9100E-0AD2-4CD2-9D16-80C35ED533F2}"/>
    <cellStyle name="40% - Accent6 2 14" xfId="449" xr:uid="{00000000-0005-0000-0000-0000C0010000}"/>
    <cellStyle name="40% - Accent6 2 14 2" xfId="2443" xr:uid="{BE6E0C78-6891-4ADD-89F4-89869F7FFDF8}"/>
    <cellStyle name="40% - Accent6 2 15" xfId="450" xr:uid="{00000000-0005-0000-0000-0000C1010000}"/>
    <cellStyle name="40% - Accent6 2 15 2" xfId="2444" xr:uid="{6B136377-0158-4936-B2AE-C7ACA0B7FA9F}"/>
    <cellStyle name="40% - Accent6 2 16" xfId="451" xr:uid="{00000000-0005-0000-0000-0000C2010000}"/>
    <cellStyle name="40% - Accent6 2 16 2" xfId="2445" xr:uid="{034FBB3C-B58C-4329-9D1E-2DAD449B4E15}"/>
    <cellStyle name="40% - Accent6 2 17" xfId="452" xr:uid="{00000000-0005-0000-0000-0000C3010000}"/>
    <cellStyle name="40% - Accent6 2 17 2" xfId="2446" xr:uid="{A85319A9-64C7-445A-95B5-2934883FD9F0}"/>
    <cellStyle name="40% - Accent6 2 18" xfId="453" xr:uid="{00000000-0005-0000-0000-0000C4010000}"/>
    <cellStyle name="40% - Accent6 2 18 2" xfId="2447" xr:uid="{8287A9E8-4803-4814-941F-142F087A316C}"/>
    <cellStyle name="40% - Accent6 2 19" xfId="454" xr:uid="{00000000-0005-0000-0000-0000C5010000}"/>
    <cellStyle name="40% - Accent6 2 19 2" xfId="2448" xr:uid="{6B1A81DF-2AC0-47E3-B3AA-A74E08A10FB1}"/>
    <cellStyle name="40% - Accent6 2 2" xfId="455" xr:uid="{00000000-0005-0000-0000-0000C6010000}"/>
    <cellStyle name="40% - Accent6 2 2 2" xfId="2449" xr:uid="{77A6EFEF-91A2-41A8-A477-3C6019BF9E94}"/>
    <cellStyle name="40% - Accent6 2 20" xfId="456" xr:uid="{00000000-0005-0000-0000-0000C7010000}"/>
    <cellStyle name="40% - Accent6 2 20 2" xfId="2450" xr:uid="{39CF75CA-F504-45D2-81ED-936F8ECCBFBF}"/>
    <cellStyle name="40% - Accent6 2 21" xfId="457" xr:uid="{00000000-0005-0000-0000-0000C8010000}"/>
    <cellStyle name="40% - Accent6 2 21 2" xfId="2451" xr:uid="{75D3A317-6B08-4102-B034-10589F13CAF9}"/>
    <cellStyle name="40% - Accent6 2 22" xfId="458" xr:uid="{00000000-0005-0000-0000-0000C9010000}"/>
    <cellStyle name="40% - Accent6 2 22 2" xfId="2452" xr:uid="{EA78EE8F-7AC0-4CF2-B473-A1BD7973DED1}"/>
    <cellStyle name="40% - Accent6 2 23" xfId="459" xr:uid="{00000000-0005-0000-0000-0000CA010000}"/>
    <cellStyle name="40% - Accent6 2 23 2" xfId="2453" xr:uid="{BC72E055-1647-47C7-BDDA-F9DE5B0B559E}"/>
    <cellStyle name="40% - Accent6 2 24" xfId="460" xr:uid="{00000000-0005-0000-0000-0000CB010000}"/>
    <cellStyle name="40% - Accent6 2 24 2" xfId="2454" xr:uid="{159B33F3-5A87-46E6-BBBC-8B7099C93632}"/>
    <cellStyle name="40% - Accent6 2 25" xfId="461" xr:uid="{00000000-0005-0000-0000-0000CC010000}"/>
    <cellStyle name="40% - Accent6 2 25 2" xfId="2455" xr:uid="{F4575065-EF6F-489E-8347-B84C20992569}"/>
    <cellStyle name="40% - Accent6 2 26" xfId="462" xr:uid="{00000000-0005-0000-0000-0000CD010000}"/>
    <cellStyle name="40% - Accent6 2 26 2" xfId="2456" xr:uid="{89C2C4F1-F1F0-4C69-B3B9-43749BCBC9F9}"/>
    <cellStyle name="40% - Accent6 2 27" xfId="463" xr:uid="{00000000-0005-0000-0000-0000CE010000}"/>
    <cellStyle name="40% - Accent6 2 27 2" xfId="2457" xr:uid="{959668FB-FD14-4AC9-A9BF-9B19EC15AF98}"/>
    <cellStyle name="40% - Accent6 2 28" xfId="464" xr:uid="{00000000-0005-0000-0000-0000CF010000}"/>
    <cellStyle name="40% - Accent6 2 28 2" xfId="2458" xr:uid="{8000F011-8A11-4231-A2FE-C996576D895B}"/>
    <cellStyle name="40% - Accent6 2 29" xfId="465" xr:uid="{00000000-0005-0000-0000-0000D0010000}"/>
    <cellStyle name="40% - Accent6 2 29 2" xfId="2459" xr:uid="{A640FF2B-BA92-41DB-BA54-96CC17EE6322}"/>
    <cellStyle name="40% - Accent6 2 3" xfId="466" xr:uid="{00000000-0005-0000-0000-0000D1010000}"/>
    <cellStyle name="40% - Accent6 2 3 2" xfId="2460" xr:uid="{74C20109-6063-446C-AEDE-461FA1736CEA}"/>
    <cellStyle name="40% - Accent6 2 30" xfId="467" xr:uid="{00000000-0005-0000-0000-0000D2010000}"/>
    <cellStyle name="40% - Accent6 2 30 2" xfId="2461" xr:uid="{71497922-742D-4A8A-86A5-568A09BFBAA3}"/>
    <cellStyle name="40% - Accent6 2 31" xfId="468" xr:uid="{00000000-0005-0000-0000-0000D3010000}"/>
    <cellStyle name="40% - Accent6 2 31 2" xfId="2462" xr:uid="{574ED802-A4FB-4C95-9899-864A354AEDFE}"/>
    <cellStyle name="40% - Accent6 2 32" xfId="469" xr:uid="{00000000-0005-0000-0000-0000D4010000}"/>
    <cellStyle name="40% - Accent6 2 32 2" xfId="2463" xr:uid="{5951576D-E7E2-4EAD-A2B1-F3D812F06191}"/>
    <cellStyle name="40% - Accent6 2 33" xfId="470" xr:uid="{00000000-0005-0000-0000-0000D5010000}"/>
    <cellStyle name="40% - Accent6 2 33 2" xfId="2464" xr:uid="{668AB63D-8B4D-4F88-B75B-F616E2A48631}"/>
    <cellStyle name="40% - Accent6 2 34" xfId="471" xr:uid="{00000000-0005-0000-0000-0000D6010000}"/>
    <cellStyle name="40% - Accent6 2 34 2" xfId="2465" xr:uid="{BF691BD5-0BAE-45CC-813C-968B5C5ED8CC}"/>
    <cellStyle name="40% - Accent6 2 35" xfId="472" xr:uid="{00000000-0005-0000-0000-0000D7010000}"/>
    <cellStyle name="40% - Accent6 2 35 2" xfId="2466" xr:uid="{532043B2-1207-48E1-BFDC-2829030EED8F}"/>
    <cellStyle name="40% - Accent6 2 36" xfId="473" xr:uid="{00000000-0005-0000-0000-0000D8010000}"/>
    <cellStyle name="40% - Accent6 2 36 2" xfId="2467" xr:uid="{476D7184-2F39-42AA-95E2-FB2669E9C3B3}"/>
    <cellStyle name="40% - Accent6 2 37" xfId="474" xr:uid="{00000000-0005-0000-0000-0000D9010000}"/>
    <cellStyle name="40% - Accent6 2 37 2" xfId="2468" xr:uid="{F5428F3D-31B5-4096-9150-219E928FF9BE}"/>
    <cellStyle name="40% - Accent6 2 38" xfId="475" xr:uid="{00000000-0005-0000-0000-0000DA010000}"/>
    <cellStyle name="40% - Accent6 2 38 2" xfId="2469" xr:uid="{B357816A-1ACC-4A1B-8AE0-546D8E91582B}"/>
    <cellStyle name="40% - Accent6 2 39" xfId="476" xr:uid="{00000000-0005-0000-0000-0000DB010000}"/>
    <cellStyle name="40% - Accent6 2 39 2" xfId="2470" xr:uid="{C821A4C3-FB19-46CD-9BA3-3A8C288D2E1E}"/>
    <cellStyle name="40% - Accent6 2 4" xfId="477" xr:uid="{00000000-0005-0000-0000-0000DC010000}"/>
    <cellStyle name="40% - Accent6 2 4 2" xfId="2471" xr:uid="{547B9DCD-CD86-45D6-AD4A-7B2749A10725}"/>
    <cellStyle name="40% - Accent6 2 40" xfId="478" xr:uid="{00000000-0005-0000-0000-0000DD010000}"/>
    <cellStyle name="40% - Accent6 2 40 2" xfId="2472" xr:uid="{0EAD177E-2322-4A5B-94EE-E179A535550A}"/>
    <cellStyle name="40% - Accent6 2 41" xfId="479" xr:uid="{00000000-0005-0000-0000-0000DE010000}"/>
    <cellStyle name="40% - Accent6 2 41 2" xfId="2473" xr:uid="{195606A4-0755-494F-B119-FB3FDB9FEA4B}"/>
    <cellStyle name="40% - Accent6 2 42" xfId="480" xr:uid="{00000000-0005-0000-0000-0000DF010000}"/>
    <cellStyle name="40% - Accent6 2 42 2" xfId="2474" xr:uid="{F4D0C703-AA6E-4F36-BF22-68ADA03B252D}"/>
    <cellStyle name="40% - Accent6 2 43" xfId="481" xr:uid="{00000000-0005-0000-0000-0000E0010000}"/>
    <cellStyle name="40% - Accent6 2 43 2" xfId="2475" xr:uid="{EEC8383B-627C-47D9-B637-234E45E4D690}"/>
    <cellStyle name="40% - Accent6 2 44" xfId="482" xr:uid="{00000000-0005-0000-0000-0000E1010000}"/>
    <cellStyle name="40% - Accent6 2 44 2" xfId="2476" xr:uid="{941E1E1A-6C21-4EB9-8579-51E2FE9F6138}"/>
    <cellStyle name="40% - Accent6 2 45" xfId="483" xr:uid="{00000000-0005-0000-0000-0000E2010000}"/>
    <cellStyle name="40% - Accent6 2 45 2" xfId="2477" xr:uid="{F0A54524-0ABC-4D16-A30E-42850D3FAD2A}"/>
    <cellStyle name="40% - Accent6 2 46" xfId="484" xr:uid="{00000000-0005-0000-0000-0000E3010000}"/>
    <cellStyle name="40% - Accent6 2 46 2" xfId="2478" xr:uid="{1ECCC419-DA12-4E46-A99B-3481B4D799DB}"/>
    <cellStyle name="40% - Accent6 2 47" xfId="485" xr:uid="{00000000-0005-0000-0000-0000E4010000}"/>
    <cellStyle name="40% - Accent6 2 47 2" xfId="2479" xr:uid="{916A865C-8059-45C0-8B5C-F81F542039F8}"/>
    <cellStyle name="40% - Accent6 2 48" xfId="486" xr:uid="{00000000-0005-0000-0000-0000E5010000}"/>
    <cellStyle name="40% - Accent6 2 48 2" xfId="2480" xr:uid="{1A7CD261-FE63-4B88-8ACD-60F8A86EBD67}"/>
    <cellStyle name="40% - Accent6 2 49" xfId="487" xr:uid="{00000000-0005-0000-0000-0000E6010000}"/>
    <cellStyle name="40% - Accent6 2 49 2" xfId="2481" xr:uid="{3105BAB4-186B-454D-B122-B1C11B4EEC04}"/>
    <cellStyle name="40% - Accent6 2 5" xfId="488" xr:uid="{00000000-0005-0000-0000-0000E7010000}"/>
    <cellStyle name="40% - Accent6 2 5 2" xfId="2482" xr:uid="{477E4B6F-D1A8-41E3-94DC-60BF46B356FB}"/>
    <cellStyle name="40% - Accent6 2 50" xfId="2438" xr:uid="{A505151D-5F06-4C1A-9820-6F2895E98F5A}"/>
    <cellStyle name="40% - Accent6 2 6" xfId="489" xr:uid="{00000000-0005-0000-0000-0000E8010000}"/>
    <cellStyle name="40% - Accent6 2 6 2" xfId="2483" xr:uid="{38AF9425-AA14-4C5F-B6E2-B441874E90DC}"/>
    <cellStyle name="40% - Accent6 2 7" xfId="490" xr:uid="{00000000-0005-0000-0000-0000E9010000}"/>
    <cellStyle name="40% - Accent6 2 7 2" xfId="2484" xr:uid="{7769FEC2-34D3-476A-8050-162A3B842729}"/>
    <cellStyle name="40% - Accent6 2 8" xfId="491" xr:uid="{00000000-0005-0000-0000-0000EA010000}"/>
    <cellStyle name="40% - Accent6 2 8 2" xfId="2485" xr:uid="{41C2A798-1327-471F-B0DC-5F7D09CD5690}"/>
    <cellStyle name="40% - Accent6 2 9" xfId="492" xr:uid="{00000000-0005-0000-0000-0000EB010000}"/>
    <cellStyle name="40% - Accent6 2 9 2" xfId="2486" xr:uid="{DDD35450-B081-4AAE-9564-AAD83BCF1AED}"/>
    <cellStyle name="60% - Accent1 2" xfId="493" xr:uid="{00000000-0005-0000-0000-0000EC010000}"/>
    <cellStyle name="60% - Accent1 2 10" xfId="494" xr:uid="{00000000-0005-0000-0000-0000ED010000}"/>
    <cellStyle name="60% - Accent1 2 11" xfId="495" xr:uid="{00000000-0005-0000-0000-0000EE010000}"/>
    <cellStyle name="60% - Accent1 2 12" xfId="496" xr:uid="{00000000-0005-0000-0000-0000EF010000}"/>
    <cellStyle name="60% - Accent1 2 13" xfId="497" xr:uid="{00000000-0005-0000-0000-0000F0010000}"/>
    <cellStyle name="60% - Accent1 2 14" xfId="498" xr:uid="{00000000-0005-0000-0000-0000F1010000}"/>
    <cellStyle name="60% - Accent1 2 15" xfId="499" xr:uid="{00000000-0005-0000-0000-0000F2010000}"/>
    <cellStyle name="60% - Accent1 2 16" xfId="500" xr:uid="{00000000-0005-0000-0000-0000F3010000}"/>
    <cellStyle name="60% - Accent1 2 17" xfId="501" xr:uid="{00000000-0005-0000-0000-0000F4010000}"/>
    <cellStyle name="60% - Accent1 2 18" xfId="502" xr:uid="{00000000-0005-0000-0000-0000F5010000}"/>
    <cellStyle name="60% - Accent1 2 19" xfId="503" xr:uid="{00000000-0005-0000-0000-0000F6010000}"/>
    <cellStyle name="60% - Accent1 2 2" xfId="504" xr:uid="{00000000-0005-0000-0000-0000F7010000}"/>
    <cellStyle name="60% - Accent1 2 20" xfId="505" xr:uid="{00000000-0005-0000-0000-0000F8010000}"/>
    <cellStyle name="60% - Accent1 2 21" xfId="506" xr:uid="{00000000-0005-0000-0000-0000F9010000}"/>
    <cellStyle name="60% - Accent1 2 22" xfId="507" xr:uid="{00000000-0005-0000-0000-0000FA010000}"/>
    <cellStyle name="60% - Accent1 2 23" xfId="508" xr:uid="{00000000-0005-0000-0000-0000FB010000}"/>
    <cellStyle name="60% - Accent1 2 24" xfId="509" xr:uid="{00000000-0005-0000-0000-0000FC010000}"/>
    <cellStyle name="60% - Accent1 2 25" xfId="510" xr:uid="{00000000-0005-0000-0000-0000FD010000}"/>
    <cellStyle name="60% - Accent1 2 26" xfId="511" xr:uid="{00000000-0005-0000-0000-0000FE010000}"/>
    <cellStyle name="60% - Accent1 2 27" xfId="512" xr:uid="{00000000-0005-0000-0000-0000FF010000}"/>
    <cellStyle name="60% - Accent1 2 28" xfId="513" xr:uid="{00000000-0005-0000-0000-000000020000}"/>
    <cellStyle name="60% - Accent1 2 29" xfId="514" xr:uid="{00000000-0005-0000-0000-000001020000}"/>
    <cellStyle name="60% - Accent1 2 3" xfId="515" xr:uid="{00000000-0005-0000-0000-000002020000}"/>
    <cellStyle name="60% - Accent1 2 30" xfId="516" xr:uid="{00000000-0005-0000-0000-000003020000}"/>
    <cellStyle name="60% - Accent1 2 31" xfId="517" xr:uid="{00000000-0005-0000-0000-000004020000}"/>
    <cellStyle name="60% - Accent1 2 32" xfId="518" xr:uid="{00000000-0005-0000-0000-000005020000}"/>
    <cellStyle name="60% - Accent1 2 33" xfId="519" xr:uid="{00000000-0005-0000-0000-000006020000}"/>
    <cellStyle name="60% - Accent1 2 34" xfId="520" xr:uid="{00000000-0005-0000-0000-000007020000}"/>
    <cellStyle name="60% - Accent1 2 35" xfId="521" xr:uid="{00000000-0005-0000-0000-000008020000}"/>
    <cellStyle name="60% - Accent1 2 36" xfId="522" xr:uid="{00000000-0005-0000-0000-000009020000}"/>
    <cellStyle name="60% - Accent1 2 37" xfId="523" xr:uid="{00000000-0005-0000-0000-00000A020000}"/>
    <cellStyle name="60% - Accent1 2 38" xfId="524" xr:uid="{00000000-0005-0000-0000-00000B020000}"/>
    <cellStyle name="60% - Accent1 2 39" xfId="525" xr:uid="{00000000-0005-0000-0000-00000C020000}"/>
    <cellStyle name="60% - Accent1 2 4" xfId="526" xr:uid="{00000000-0005-0000-0000-00000D020000}"/>
    <cellStyle name="60% - Accent1 2 40" xfId="527" xr:uid="{00000000-0005-0000-0000-00000E020000}"/>
    <cellStyle name="60% - Accent1 2 41" xfId="528" xr:uid="{00000000-0005-0000-0000-00000F020000}"/>
    <cellStyle name="60% - Accent1 2 42" xfId="529" xr:uid="{00000000-0005-0000-0000-000010020000}"/>
    <cellStyle name="60% - Accent1 2 43" xfId="530" xr:uid="{00000000-0005-0000-0000-000011020000}"/>
    <cellStyle name="60% - Accent1 2 44" xfId="531" xr:uid="{00000000-0005-0000-0000-000012020000}"/>
    <cellStyle name="60% - Accent1 2 45" xfId="532" xr:uid="{00000000-0005-0000-0000-000013020000}"/>
    <cellStyle name="60% - Accent1 2 46" xfId="533" xr:uid="{00000000-0005-0000-0000-000014020000}"/>
    <cellStyle name="60% - Accent1 2 47" xfId="534" xr:uid="{00000000-0005-0000-0000-000015020000}"/>
    <cellStyle name="60% - Accent1 2 48" xfId="535" xr:uid="{00000000-0005-0000-0000-000016020000}"/>
    <cellStyle name="60% - Accent1 2 49" xfId="536" xr:uid="{00000000-0005-0000-0000-000017020000}"/>
    <cellStyle name="60% - Accent1 2 5" xfId="537" xr:uid="{00000000-0005-0000-0000-000018020000}"/>
    <cellStyle name="60% - Accent1 2 6" xfId="538" xr:uid="{00000000-0005-0000-0000-000019020000}"/>
    <cellStyle name="60% - Accent1 2 7" xfId="539" xr:uid="{00000000-0005-0000-0000-00001A020000}"/>
    <cellStyle name="60% - Accent1 2 8" xfId="540" xr:uid="{00000000-0005-0000-0000-00001B020000}"/>
    <cellStyle name="60% - Accent1 2 9" xfId="541" xr:uid="{00000000-0005-0000-0000-00001C020000}"/>
    <cellStyle name="60% - Accent2 2" xfId="542" xr:uid="{00000000-0005-0000-0000-00001D020000}"/>
    <cellStyle name="60% - Accent2 2 10" xfId="543" xr:uid="{00000000-0005-0000-0000-00001E020000}"/>
    <cellStyle name="60% - Accent2 2 11" xfId="544" xr:uid="{00000000-0005-0000-0000-00001F020000}"/>
    <cellStyle name="60% - Accent2 2 12" xfId="545" xr:uid="{00000000-0005-0000-0000-000020020000}"/>
    <cellStyle name="60% - Accent2 2 13" xfId="546" xr:uid="{00000000-0005-0000-0000-000021020000}"/>
    <cellStyle name="60% - Accent2 2 14" xfId="547" xr:uid="{00000000-0005-0000-0000-000022020000}"/>
    <cellStyle name="60% - Accent2 2 15" xfId="548" xr:uid="{00000000-0005-0000-0000-000023020000}"/>
    <cellStyle name="60% - Accent2 2 16" xfId="549" xr:uid="{00000000-0005-0000-0000-000024020000}"/>
    <cellStyle name="60% - Accent2 2 17" xfId="550" xr:uid="{00000000-0005-0000-0000-000025020000}"/>
    <cellStyle name="60% - Accent2 2 18" xfId="551" xr:uid="{00000000-0005-0000-0000-000026020000}"/>
    <cellStyle name="60% - Accent2 2 19" xfId="552" xr:uid="{00000000-0005-0000-0000-000027020000}"/>
    <cellStyle name="60% - Accent2 2 2" xfId="553" xr:uid="{00000000-0005-0000-0000-000028020000}"/>
    <cellStyle name="60% - Accent2 2 20" xfId="554" xr:uid="{00000000-0005-0000-0000-000029020000}"/>
    <cellStyle name="60% - Accent2 2 21" xfId="555" xr:uid="{00000000-0005-0000-0000-00002A020000}"/>
    <cellStyle name="60% - Accent2 2 22" xfId="556" xr:uid="{00000000-0005-0000-0000-00002B020000}"/>
    <cellStyle name="60% - Accent2 2 23" xfId="557" xr:uid="{00000000-0005-0000-0000-00002C020000}"/>
    <cellStyle name="60% - Accent2 2 24" xfId="558" xr:uid="{00000000-0005-0000-0000-00002D020000}"/>
    <cellStyle name="60% - Accent2 2 25" xfId="559" xr:uid="{00000000-0005-0000-0000-00002E020000}"/>
    <cellStyle name="60% - Accent2 2 26" xfId="560" xr:uid="{00000000-0005-0000-0000-00002F020000}"/>
    <cellStyle name="60% - Accent2 2 27" xfId="561" xr:uid="{00000000-0005-0000-0000-000030020000}"/>
    <cellStyle name="60% - Accent2 2 28" xfId="562" xr:uid="{00000000-0005-0000-0000-000031020000}"/>
    <cellStyle name="60% - Accent2 2 29" xfId="563" xr:uid="{00000000-0005-0000-0000-000032020000}"/>
    <cellStyle name="60% - Accent2 2 3" xfId="564" xr:uid="{00000000-0005-0000-0000-000033020000}"/>
    <cellStyle name="60% - Accent2 2 30" xfId="565" xr:uid="{00000000-0005-0000-0000-000034020000}"/>
    <cellStyle name="60% - Accent2 2 31" xfId="566" xr:uid="{00000000-0005-0000-0000-000035020000}"/>
    <cellStyle name="60% - Accent2 2 32" xfId="567" xr:uid="{00000000-0005-0000-0000-000036020000}"/>
    <cellStyle name="60% - Accent2 2 33" xfId="568" xr:uid="{00000000-0005-0000-0000-000037020000}"/>
    <cellStyle name="60% - Accent2 2 34" xfId="569" xr:uid="{00000000-0005-0000-0000-000038020000}"/>
    <cellStyle name="60% - Accent2 2 35" xfId="570" xr:uid="{00000000-0005-0000-0000-000039020000}"/>
    <cellStyle name="60% - Accent2 2 36" xfId="571" xr:uid="{00000000-0005-0000-0000-00003A020000}"/>
    <cellStyle name="60% - Accent2 2 37" xfId="572" xr:uid="{00000000-0005-0000-0000-00003B020000}"/>
    <cellStyle name="60% - Accent2 2 38" xfId="573" xr:uid="{00000000-0005-0000-0000-00003C020000}"/>
    <cellStyle name="60% - Accent2 2 39" xfId="574" xr:uid="{00000000-0005-0000-0000-00003D020000}"/>
    <cellStyle name="60% - Accent2 2 4" xfId="575" xr:uid="{00000000-0005-0000-0000-00003E020000}"/>
    <cellStyle name="60% - Accent2 2 40" xfId="576" xr:uid="{00000000-0005-0000-0000-00003F020000}"/>
    <cellStyle name="60% - Accent2 2 41" xfId="577" xr:uid="{00000000-0005-0000-0000-000040020000}"/>
    <cellStyle name="60% - Accent2 2 42" xfId="578" xr:uid="{00000000-0005-0000-0000-000041020000}"/>
    <cellStyle name="60% - Accent2 2 43" xfId="579" xr:uid="{00000000-0005-0000-0000-000042020000}"/>
    <cellStyle name="60% - Accent2 2 44" xfId="580" xr:uid="{00000000-0005-0000-0000-000043020000}"/>
    <cellStyle name="60% - Accent2 2 45" xfId="581" xr:uid="{00000000-0005-0000-0000-000044020000}"/>
    <cellStyle name="60% - Accent2 2 46" xfId="582" xr:uid="{00000000-0005-0000-0000-000045020000}"/>
    <cellStyle name="60% - Accent2 2 47" xfId="583" xr:uid="{00000000-0005-0000-0000-000046020000}"/>
    <cellStyle name="60% - Accent2 2 48" xfId="584" xr:uid="{00000000-0005-0000-0000-000047020000}"/>
    <cellStyle name="60% - Accent2 2 49" xfId="585" xr:uid="{00000000-0005-0000-0000-000048020000}"/>
    <cellStyle name="60% - Accent2 2 5" xfId="586" xr:uid="{00000000-0005-0000-0000-000049020000}"/>
    <cellStyle name="60% - Accent2 2 6" xfId="587" xr:uid="{00000000-0005-0000-0000-00004A020000}"/>
    <cellStyle name="60% - Accent2 2 7" xfId="588" xr:uid="{00000000-0005-0000-0000-00004B020000}"/>
    <cellStyle name="60% - Accent2 2 8" xfId="589" xr:uid="{00000000-0005-0000-0000-00004C020000}"/>
    <cellStyle name="60% - Accent2 2 9" xfId="590" xr:uid="{00000000-0005-0000-0000-00004D020000}"/>
    <cellStyle name="60% - Accent3 2" xfId="591" xr:uid="{00000000-0005-0000-0000-00004E020000}"/>
    <cellStyle name="60% - Accent3 2 10" xfId="592" xr:uid="{00000000-0005-0000-0000-00004F020000}"/>
    <cellStyle name="60% - Accent3 2 11" xfId="593" xr:uid="{00000000-0005-0000-0000-000050020000}"/>
    <cellStyle name="60% - Accent3 2 12" xfId="594" xr:uid="{00000000-0005-0000-0000-000051020000}"/>
    <cellStyle name="60% - Accent3 2 13" xfId="595" xr:uid="{00000000-0005-0000-0000-000052020000}"/>
    <cellStyle name="60% - Accent3 2 14" xfId="596" xr:uid="{00000000-0005-0000-0000-000053020000}"/>
    <cellStyle name="60% - Accent3 2 15" xfId="597" xr:uid="{00000000-0005-0000-0000-000054020000}"/>
    <cellStyle name="60% - Accent3 2 16" xfId="598" xr:uid="{00000000-0005-0000-0000-000055020000}"/>
    <cellStyle name="60% - Accent3 2 17" xfId="599" xr:uid="{00000000-0005-0000-0000-000056020000}"/>
    <cellStyle name="60% - Accent3 2 18" xfId="600" xr:uid="{00000000-0005-0000-0000-000057020000}"/>
    <cellStyle name="60% - Accent3 2 19" xfId="601" xr:uid="{00000000-0005-0000-0000-000058020000}"/>
    <cellStyle name="60% - Accent3 2 2" xfId="602" xr:uid="{00000000-0005-0000-0000-000059020000}"/>
    <cellStyle name="60% - Accent3 2 20" xfId="603" xr:uid="{00000000-0005-0000-0000-00005A020000}"/>
    <cellStyle name="60% - Accent3 2 21" xfId="604" xr:uid="{00000000-0005-0000-0000-00005B020000}"/>
    <cellStyle name="60% - Accent3 2 22" xfId="605" xr:uid="{00000000-0005-0000-0000-00005C020000}"/>
    <cellStyle name="60% - Accent3 2 23" xfId="606" xr:uid="{00000000-0005-0000-0000-00005D020000}"/>
    <cellStyle name="60% - Accent3 2 24" xfId="607" xr:uid="{00000000-0005-0000-0000-00005E020000}"/>
    <cellStyle name="60% - Accent3 2 25" xfId="608" xr:uid="{00000000-0005-0000-0000-00005F020000}"/>
    <cellStyle name="60% - Accent3 2 26" xfId="609" xr:uid="{00000000-0005-0000-0000-000060020000}"/>
    <cellStyle name="60% - Accent3 2 27" xfId="610" xr:uid="{00000000-0005-0000-0000-000061020000}"/>
    <cellStyle name="60% - Accent3 2 28" xfId="611" xr:uid="{00000000-0005-0000-0000-000062020000}"/>
    <cellStyle name="60% - Accent3 2 29" xfId="612" xr:uid="{00000000-0005-0000-0000-000063020000}"/>
    <cellStyle name="60% - Accent3 2 3" xfId="613" xr:uid="{00000000-0005-0000-0000-000064020000}"/>
    <cellStyle name="60% - Accent3 2 30" xfId="614" xr:uid="{00000000-0005-0000-0000-000065020000}"/>
    <cellStyle name="60% - Accent3 2 31" xfId="615" xr:uid="{00000000-0005-0000-0000-000066020000}"/>
    <cellStyle name="60% - Accent3 2 32" xfId="616" xr:uid="{00000000-0005-0000-0000-000067020000}"/>
    <cellStyle name="60% - Accent3 2 33" xfId="617" xr:uid="{00000000-0005-0000-0000-000068020000}"/>
    <cellStyle name="60% - Accent3 2 34" xfId="618" xr:uid="{00000000-0005-0000-0000-000069020000}"/>
    <cellStyle name="60% - Accent3 2 35" xfId="619" xr:uid="{00000000-0005-0000-0000-00006A020000}"/>
    <cellStyle name="60% - Accent3 2 36" xfId="620" xr:uid="{00000000-0005-0000-0000-00006B020000}"/>
    <cellStyle name="60% - Accent3 2 37" xfId="621" xr:uid="{00000000-0005-0000-0000-00006C020000}"/>
    <cellStyle name="60% - Accent3 2 38" xfId="622" xr:uid="{00000000-0005-0000-0000-00006D020000}"/>
    <cellStyle name="60% - Accent3 2 39" xfId="623" xr:uid="{00000000-0005-0000-0000-00006E020000}"/>
    <cellStyle name="60% - Accent3 2 4" xfId="624" xr:uid="{00000000-0005-0000-0000-00006F020000}"/>
    <cellStyle name="60% - Accent3 2 40" xfId="625" xr:uid="{00000000-0005-0000-0000-000070020000}"/>
    <cellStyle name="60% - Accent3 2 41" xfId="626" xr:uid="{00000000-0005-0000-0000-000071020000}"/>
    <cellStyle name="60% - Accent3 2 42" xfId="627" xr:uid="{00000000-0005-0000-0000-000072020000}"/>
    <cellStyle name="60% - Accent3 2 43" xfId="628" xr:uid="{00000000-0005-0000-0000-000073020000}"/>
    <cellStyle name="60% - Accent3 2 44" xfId="629" xr:uid="{00000000-0005-0000-0000-000074020000}"/>
    <cellStyle name="60% - Accent3 2 45" xfId="630" xr:uid="{00000000-0005-0000-0000-000075020000}"/>
    <cellStyle name="60% - Accent3 2 46" xfId="631" xr:uid="{00000000-0005-0000-0000-000076020000}"/>
    <cellStyle name="60% - Accent3 2 47" xfId="632" xr:uid="{00000000-0005-0000-0000-000077020000}"/>
    <cellStyle name="60% - Accent3 2 48" xfId="633" xr:uid="{00000000-0005-0000-0000-000078020000}"/>
    <cellStyle name="60% - Accent3 2 49" xfId="634" xr:uid="{00000000-0005-0000-0000-000079020000}"/>
    <cellStyle name="60% - Accent3 2 5" xfId="635" xr:uid="{00000000-0005-0000-0000-00007A020000}"/>
    <cellStyle name="60% - Accent3 2 6" xfId="636" xr:uid="{00000000-0005-0000-0000-00007B020000}"/>
    <cellStyle name="60% - Accent3 2 7" xfId="637" xr:uid="{00000000-0005-0000-0000-00007C020000}"/>
    <cellStyle name="60% - Accent3 2 8" xfId="638" xr:uid="{00000000-0005-0000-0000-00007D020000}"/>
    <cellStyle name="60% - Accent3 2 9" xfId="639" xr:uid="{00000000-0005-0000-0000-00007E020000}"/>
    <cellStyle name="60% - Accent4 2" xfId="640" xr:uid="{00000000-0005-0000-0000-00007F020000}"/>
    <cellStyle name="60% - Accent4 2 10" xfId="641" xr:uid="{00000000-0005-0000-0000-000080020000}"/>
    <cellStyle name="60% - Accent4 2 11" xfId="642" xr:uid="{00000000-0005-0000-0000-000081020000}"/>
    <cellStyle name="60% - Accent4 2 12" xfId="643" xr:uid="{00000000-0005-0000-0000-000082020000}"/>
    <cellStyle name="60% - Accent4 2 13" xfId="644" xr:uid="{00000000-0005-0000-0000-000083020000}"/>
    <cellStyle name="60% - Accent4 2 14" xfId="645" xr:uid="{00000000-0005-0000-0000-000084020000}"/>
    <cellStyle name="60% - Accent4 2 15" xfId="646" xr:uid="{00000000-0005-0000-0000-000085020000}"/>
    <cellStyle name="60% - Accent4 2 16" xfId="647" xr:uid="{00000000-0005-0000-0000-000086020000}"/>
    <cellStyle name="60% - Accent4 2 17" xfId="648" xr:uid="{00000000-0005-0000-0000-000087020000}"/>
    <cellStyle name="60% - Accent4 2 18" xfId="649" xr:uid="{00000000-0005-0000-0000-000088020000}"/>
    <cellStyle name="60% - Accent4 2 19" xfId="650" xr:uid="{00000000-0005-0000-0000-000089020000}"/>
    <cellStyle name="60% - Accent4 2 2" xfId="651" xr:uid="{00000000-0005-0000-0000-00008A020000}"/>
    <cellStyle name="60% - Accent4 2 20" xfId="652" xr:uid="{00000000-0005-0000-0000-00008B020000}"/>
    <cellStyle name="60% - Accent4 2 21" xfId="653" xr:uid="{00000000-0005-0000-0000-00008C020000}"/>
    <cellStyle name="60% - Accent4 2 22" xfId="654" xr:uid="{00000000-0005-0000-0000-00008D020000}"/>
    <cellStyle name="60% - Accent4 2 23" xfId="655" xr:uid="{00000000-0005-0000-0000-00008E020000}"/>
    <cellStyle name="60% - Accent4 2 24" xfId="656" xr:uid="{00000000-0005-0000-0000-00008F020000}"/>
    <cellStyle name="60% - Accent4 2 25" xfId="657" xr:uid="{00000000-0005-0000-0000-000090020000}"/>
    <cellStyle name="60% - Accent4 2 26" xfId="658" xr:uid="{00000000-0005-0000-0000-000091020000}"/>
    <cellStyle name="60% - Accent4 2 27" xfId="659" xr:uid="{00000000-0005-0000-0000-000092020000}"/>
    <cellStyle name="60% - Accent4 2 28" xfId="660" xr:uid="{00000000-0005-0000-0000-000093020000}"/>
    <cellStyle name="60% - Accent4 2 29" xfId="661" xr:uid="{00000000-0005-0000-0000-000094020000}"/>
    <cellStyle name="60% - Accent4 2 3" xfId="662" xr:uid="{00000000-0005-0000-0000-000095020000}"/>
    <cellStyle name="60% - Accent4 2 30" xfId="663" xr:uid="{00000000-0005-0000-0000-000096020000}"/>
    <cellStyle name="60% - Accent4 2 31" xfId="664" xr:uid="{00000000-0005-0000-0000-000097020000}"/>
    <cellStyle name="60% - Accent4 2 32" xfId="665" xr:uid="{00000000-0005-0000-0000-000098020000}"/>
    <cellStyle name="60% - Accent4 2 33" xfId="666" xr:uid="{00000000-0005-0000-0000-000099020000}"/>
    <cellStyle name="60% - Accent4 2 34" xfId="667" xr:uid="{00000000-0005-0000-0000-00009A020000}"/>
    <cellStyle name="60% - Accent4 2 35" xfId="668" xr:uid="{00000000-0005-0000-0000-00009B020000}"/>
    <cellStyle name="60% - Accent4 2 36" xfId="669" xr:uid="{00000000-0005-0000-0000-00009C020000}"/>
    <cellStyle name="60% - Accent4 2 37" xfId="670" xr:uid="{00000000-0005-0000-0000-00009D020000}"/>
    <cellStyle name="60% - Accent4 2 38" xfId="671" xr:uid="{00000000-0005-0000-0000-00009E020000}"/>
    <cellStyle name="60% - Accent4 2 39" xfId="672" xr:uid="{00000000-0005-0000-0000-00009F020000}"/>
    <cellStyle name="60% - Accent4 2 4" xfId="673" xr:uid="{00000000-0005-0000-0000-0000A0020000}"/>
    <cellStyle name="60% - Accent4 2 40" xfId="674" xr:uid="{00000000-0005-0000-0000-0000A1020000}"/>
    <cellStyle name="60% - Accent4 2 41" xfId="675" xr:uid="{00000000-0005-0000-0000-0000A2020000}"/>
    <cellStyle name="60% - Accent4 2 42" xfId="676" xr:uid="{00000000-0005-0000-0000-0000A3020000}"/>
    <cellStyle name="60% - Accent4 2 43" xfId="677" xr:uid="{00000000-0005-0000-0000-0000A4020000}"/>
    <cellStyle name="60% - Accent4 2 44" xfId="678" xr:uid="{00000000-0005-0000-0000-0000A5020000}"/>
    <cellStyle name="60% - Accent4 2 45" xfId="679" xr:uid="{00000000-0005-0000-0000-0000A6020000}"/>
    <cellStyle name="60% - Accent4 2 46" xfId="680" xr:uid="{00000000-0005-0000-0000-0000A7020000}"/>
    <cellStyle name="60% - Accent4 2 47" xfId="681" xr:uid="{00000000-0005-0000-0000-0000A8020000}"/>
    <cellStyle name="60% - Accent4 2 48" xfId="682" xr:uid="{00000000-0005-0000-0000-0000A9020000}"/>
    <cellStyle name="60% - Accent4 2 49" xfId="683" xr:uid="{00000000-0005-0000-0000-0000AA020000}"/>
    <cellStyle name="60% - Accent4 2 5" xfId="684" xr:uid="{00000000-0005-0000-0000-0000AB020000}"/>
    <cellStyle name="60% - Accent4 2 6" xfId="685" xr:uid="{00000000-0005-0000-0000-0000AC020000}"/>
    <cellStyle name="60% - Accent4 2 7" xfId="686" xr:uid="{00000000-0005-0000-0000-0000AD020000}"/>
    <cellStyle name="60% - Accent4 2 8" xfId="687" xr:uid="{00000000-0005-0000-0000-0000AE020000}"/>
    <cellStyle name="60% - Accent4 2 9" xfId="688" xr:uid="{00000000-0005-0000-0000-0000AF020000}"/>
    <cellStyle name="60% - Accent5 2" xfId="689" xr:uid="{00000000-0005-0000-0000-0000B0020000}"/>
    <cellStyle name="60% - Accent5 2 10" xfId="690" xr:uid="{00000000-0005-0000-0000-0000B1020000}"/>
    <cellStyle name="60% - Accent5 2 11" xfId="691" xr:uid="{00000000-0005-0000-0000-0000B2020000}"/>
    <cellStyle name="60% - Accent5 2 12" xfId="692" xr:uid="{00000000-0005-0000-0000-0000B3020000}"/>
    <cellStyle name="60% - Accent5 2 13" xfId="693" xr:uid="{00000000-0005-0000-0000-0000B4020000}"/>
    <cellStyle name="60% - Accent5 2 14" xfId="694" xr:uid="{00000000-0005-0000-0000-0000B5020000}"/>
    <cellStyle name="60% - Accent5 2 15" xfId="695" xr:uid="{00000000-0005-0000-0000-0000B6020000}"/>
    <cellStyle name="60% - Accent5 2 16" xfId="696" xr:uid="{00000000-0005-0000-0000-0000B7020000}"/>
    <cellStyle name="60% - Accent5 2 17" xfId="697" xr:uid="{00000000-0005-0000-0000-0000B8020000}"/>
    <cellStyle name="60% - Accent5 2 18" xfId="698" xr:uid="{00000000-0005-0000-0000-0000B9020000}"/>
    <cellStyle name="60% - Accent5 2 19" xfId="699" xr:uid="{00000000-0005-0000-0000-0000BA020000}"/>
    <cellStyle name="60% - Accent5 2 2" xfId="700" xr:uid="{00000000-0005-0000-0000-0000BB020000}"/>
    <cellStyle name="60% - Accent5 2 20" xfId="701" xr:uid="{00000000-0005-0000-0000-0000BC020000}"/>
    <cellStyle name="60% - Accent5 2 21" xfId="702" xr:uid="{00000000-0005-0000-0000-0000BD020000}"/>
    <cellStyle name="60% - Accent5 2 22" xfId="703" xr:uid="{00000000-0005-0000-0000-0000BE020000}"/>
    <cellStyle name="60% - Accent5 2 23" xfId="704" xr:uid="{00000000-0005-0000-0000-0000BF020000}"/>
    <cellStyle name="60% - Accent5 2 24" xfId="705" xr:uid="{00000000-0005-0000-0000-0000C0020000}"/>
    <cellStyle name="60% - Accent5 2 25" xfId="706" xr:uid="{00000000-0005-0000-0000-0000C1020000}"/>
    <cellStyle name="60% - Accent5 2 26" xfId="707" xr:uid="{00000000-0005-0000-0000-0000C2020000}"/>
    <cellStyle name="60% - Accent5 2 27" xfId="708" xr:uid="{00000000-0005-0000-0000-0000C3020000}"/>
    <cellStyle name="60% - Accent5 2 28" xfId="709" xr:uid="{00000000-0005-0000-0000-0000C4020000}"/>
    <cellStyle name="60% - Accent5 2 29" xfId="710" xr:uid="{00000000-0005-0000-0000-0000C5020000}"/>
    <cellStyle name="60% - Accent5 2 3" xfId="711" xr:uid="{00000000-0005-0000-0000-0000C6020000}"/>
    <cellStyle name="60% - Accent5 2 30" xfId="712" xr:uid="{00000000-0005-0000-0000-0000C7020000}"/>
    <cellStyle name="60% - Accent5 2 31" xfId="713" xr:uid="{00000000-0005-0000-0000-0000C8020000}"/>
    <cellStyle name="60% - Accent5 2 32" xfId="714" xr:uid="{00000000-0005-0000-0000-0000C9020000}"/>
    <cellStyle name="60% - Accent5 2 33" xfId="715" xr:uid="{00000000-0005-0000-0000-0000CA020000}"/>
    <cellStyle name="60% - Accent5 2 34" xfId="716" xr:uid="{00000000-0005-0000-0000-0000CB020000}"/>
    <cellStyle name="60% - Accent5 2 35" xfId="717" xr:uid="{00000000-0005-0000-0000-0000CC020000}"/>
    <cellStyle name="60% - Accent5 2 36" xfId="718" xr:uid="{00000000-0005-0000-0000-0000CD020000}"/>
    <cellStyle name="60% - Accent5 2 37" xfId="719" xr:uid="{00000000-0005-0000-0000-0000CE020000}"/>
    <cellStyle name="60% - Accent5 2 38" xfId="720" xr:uid="{00000000-0005-0000-0000-0000CF020000}"/>
    <cellStyle name="60% - Accent5 2 39" xfId="721" xr:uid="{00000000-0005-0000-0000-0000D0020000}"/>
    <cellStyle name="60% - Accent5 2 4" xfId="722" xr:uid="{00000000-0005-0000-0000-0000D1020000}"/>
    <cellStyle name="60% - Accent5 2 40" xfId="723" xr:uid="{00000000-0005-0000-0000-0000D2020000}"/>
    <cellStyle name="60% - Accent5 2 41" xfId="724" xr:uid="{00000000-0005-0000-0000-0000D3020000}"/>
    <cellStyle name="60% - Accent5 2 42" xfId="725" xr:uid="{00000000-0005-0000-0000-0000D4020000}"/>
    <cellStyle name="60% - Accent5 2 43" xfId="726" xr:uid="{00000000-0005-0000-0000-0000D5020000}"/>
    <cellStyle name="60% - Accent5 2 44" xfId="727" xr:uid="{00000000-0005-0000-0000-0000D6020000}"/>
    <cellStyle name="60% - Accent5 2 45" xfId="728" xr:uid="{00000000-0005-0000-0000-0000D7020000}"/>
    <cellStyle name="60% - Accent5 2 46" xfId="729" xr:uid="{00000000-0005-0000-0000-0000D8020000}"/>
    <cellStyle name="60% - Accent5 2 47" xfId="730" xr:uid="{00000000-0005-0000-0000-0000D9020000}"/>
    <cellStyle name="60% - Accent5 2 48" xfId="731" xr:uid="{00000000-0005-0000-0000-0000DA020000}"/>
    <cellStyle name="60% - Accent5 2 49" xfId="732" xr:uid="{00000000-0005-0000-0000-0000DB020000}"/>
    <cellStyle name="60% - Accent5 2 5" xfId="733" xr:uid="{00000000-0005-0000-0000-0000DC020000}"/>
    <cellStyle name="60% - Accent5 2 6" xfId="734" xr:uid="{00000000-0005-0000-0000-0000DD020000}"/>
    <cellStyle name="60% - Accent5 2 7" xfId="735" xr:uid="{00000000-0005-0000-0000-0000DE020000}"/>
    <cellStyle name="60% - Accent5 2 8" xfId="736" xr:uid="{00000000-0005-0000-0000-0000DF020000}"/>
    <cellStyle name="60% - Accent5 2 9" xfId="737" xr:uid="{00000000-0005-0000-0000-0000E0020000}"/>
    <cellStyle name="60% - Accent6 2" xfId="738" xr:uid="{00000000-0005-0000-0000-0000E1020000}"/>
    <cellStyle name="60% - Accent6 2 10" xfId="739" xr:uid="{00000000-0005-0000-0000-0000E2020000}"/>
    <cellStyle name="60% - Accent6 2 11" xfId="740" xr:uid="{00000000-0005-0000-0000-0000E3020000}"/>
    <cellStyle name="60% - Accent6 2 12" xfId="741" xr:uid="{00000000-0005-0000-0000-0000E4020000}"/>
    <cellStyle name="60% - Accent6 2 13" xfId="742" xr:uid="{00000000-0005-0000-0000-0000E5020000}"/>
    <cellStyle name="60% - Accent6 2 14" xfId="743" xr:uid="{00000000-0005-0000-0000-0000E6020000}"/>
    <cellStyle name="60% - Accent6 2 15" xfId="744" xr:uid="{00000000-0005-0000-0000-0000E7020000}"/>
    <cellStyle name="60% - Accent6 2 16" xfId="745" xr:uid="{00000000-0005-0000-0000-0000E8020000}"/>
    <cellStyle name="60% - Accent6 2 17" xfId="746" xr:uid="{00000000-0005-0000-0000-0000E9020000}"/>
    <cellStyle name="60% - Accent6 2 18" xfId="747" xr:uid="{00000000-0005-0000-0000-0000EA020000}"/>
    <cellStyle name="60% - Accent6 2 19" xfId="748" xr:uid="{00000000-0005-0000-0000-0000EB020000}"/>
    <cellStyle name="60% - Accent6 2 2" xfId="749" xr:uid="{00000000-0005-0000-0000-0000EC020000}"/>
    <cellStyle name="60% - Accent6 2 20" xfId="750" xr:uid="{00000000-0005-0000-0000-0000ED020000}"/>
    <cellStyle name="60% - Accent6 2 21" xfId="751" xr:uid="{00000000-0005-0000-0000-0000EE020000}"/>
    <cellStyle name="60% - Accent6 2 22" xfId="752" xr:uid="{00000000-0005-0000-0000-0000EF020000}"/>
    <cellStyle name="60% - Accent6 2 23" xfId="753" xr:uid="{00000000-0005-0000-0000-0000F0020000}"/>
    <cellStyle name="60% - Accent6 2 24" xfId="754" xr:uid="{00000000-0005-0000-0000-0000F1020000}"/>
    <cellStyle name="60% - Accent6 2 25" xfId="755" xr:uid="{00000000-0005-0000-0000-0000F2020000}"/>
    <cellStyle name="60% - Accent6 2 26" xfId="756" xr:uid="{00000000-0005-0000-0000-0000F3020000}"/>
    <cellStyle name="60% - Accent6 2 27" xfId="757" xr:uid="{00000000-0005-0000-0000-0000F4020000}"/>
    <cellStyle name="60% - Accent6 2 28" xfId="758" xr:uid="{00000000-0005-0000-0000-0000F5020000}"/>
    <cellStyle name="60% - Accent6 2 29" xfId="759" xr:uid="{00000000-0005-0000-0000-0000F6020000}"/>
    <cellStyle name="60% - Accent6 2 3" xfId="760" xr:uid="{00000000-0005-0000-0000-0000F7020000}"/>
    <cellStyle name="60% - Accent6 2 30" xfId="761" xr:uid="{00000000-0005-0000-0000-0000F8020000}"/>
    <cellStyle name="60% - Accent6 2 31" xfId="762" xr:uid="{00000000-0005-0000-0000-0000F9020000}"/>
    <cellStyle name="60% - Accent6 2 32" xfId="763" xr:uid="{00000000-0005-0000-0000-0000FA020000}"/>
    <cellStyle name="60% - Accent6 2 33" xfId="764" xr:uid="{00000000-0005-0000-0000-0000FB020000}"/>
    <cellStyle name="60% - Accent6 2 34" xfId="765" xr:uid="{00000000-0005-0000-0000-0000FC020000}"/>
    <cellStyle name="60% - Accent6 2 35" xfId="766" xr:uid="{00000000-0005-0000-0000-0000FD020000}"/>
    <cellStyle name="60% - Accent6 2 36" xfId="767" xr:uid="{00000000-0005-0000-0000-0000FE020000}"/>
    <cellStyle name="60% - Accent6 2 37" xfId="768" xr:uid="{00000000-0005-0000-0000-0000FF020000}"/>
    <cellStyle name="60% - Accent6 2 38" xfId="769" xr:uid="{00000000-0005-0000-0000-000000030000}"/>
    <cellStyle name="60% - Accent6 2 39" xfId="770" xr:uid="{00000000-0005-0000-0000-000001030000}"/>
    <cellStyle name="60% - Accent6 2 4" xfId="771" xr:uid="{00000000-0005-0000-0000-000002030000}"/>
    <cellStyle name="60% - Accent6 2 40" xfId="772" xr:uid="{00000000-0005-0000-0000-000003030000}"/>
    <cellStyle name="60% - Accent6 2 41" xfId="773" xr:uid="{00000000-0005-0000-0000-000004030000}"/>
    <cellStyle name="60% - Accent6 2 42" xfId="774" xr:uid="{00000000-0005-0000-0000-000005030000}"/>
    <cellStyle name="60% - Accent6 2 43" xfId="775" xr:uid="{00000000-0005-0000-0000-000006030000}"/>
    <cellStyle name="60% - Accent6 2 44" xfId="776" xr:uid="{00000000-0005-0000-0000-000007030000}"/>
    <cellStyle name="60% - Accent6 2 45" xfId="777" xr:uid="{00000000-0005-0000-0000-000008030000}"/>
    <cellStyle name="60% - Accent6 2 46" xfId="778" xr:uid="{00000000-0005-0000-0000-000009030000}"/>
    <cellStyle name="60% - Accent6 2 47" xfId="779" xr:uid="{00000000-0005-0000-0000-00000A030000}"/>
    <cellStyle name="60% - Accent6 2 48" xfId="780" xr:uid="{00000000-0005-0000-0000-00000B030000}"/>
    <cellStyle name="60% - Accent6 2 49" xfId="781" xr:uid="{00000000-0005-0000-0000-00000C030000}"/>
    <cellStyle name="60% - Accent6 2 5" xfId="782" xr:uid="{00000000-0005-0000-0000-00000D030000}"/>
    <cellStyle name="60% - Accent6 2 6" xfId="783" xr:uid="{00000000-0005-0000-0000-00000E030000}"/>
    <cellStyle name="60% - Accent6 2 7" xfId="784" xr:uid="{00000000-0005-0000-0000-00000F030000}"/>
    <cellStyle name="60% - Accent6 2 8" xfId="785" xr:uid="{00000000-0005-0000-0000-000010030000}"/>
    <cellStyle name="60% - Accent6 2 9" xfId="786" xr:uid="{00000000-0005-0000-0000-000011030000}"/>
    <cellStyle name="Accent1 2" xfId="787" xr:uid="{00000000-0005-0000-0000-000012030000}"/>
    <cellStyle name="Accent1 2 10" xfId="788" xr:uid="{00000000-0005-0000-0000-000013030000}"/>
    <cellStyle name="Accent1 2 11" xfId="789" xr:uid="{00000000-0005-0000-0000-000014030000}"/>
    <cellStyle name="Accent1 2 12" xfId="790" xr:uid="{00000000-0005-0000-0000-000015030000}"/>
    <cellStyle name="Accent1 2 13" xfId="791" xr:uid="{00000000-0005-0000-0000-000016030000}"/>
    <cellStyle name="Accent1 2 14" xfId="792" xr:uid="{00000000-0005-0000-0000-000017030000}"/>
    <cellStyle name="Accent1 2 15" xfId="793" xr:uid="{00000000-0005-0000-0000-000018030000}"/>
    <cellStyle name="Accent1 2 16" xfId="794" xr:uid="{00000000-0005-0000-0000-000019030000}"/>
    <cellStyle name="Accent1 2 17" xfId="795" xr:uid="{00000000-0005-0000-0000-00001A030000}"/>
    <cellStyle name="Accent1 2 18" xfId="796" xr:uid="{00000000-0005-0000-0000-00001B030000}"/>
    <cellStyle name="Accent1 2 19" xfId="797" xr:uid="{00000000-0005-0000-0000-00001C030000}"/>
    <cellStyle name="Accent1 2 2" xfId="798" xr:uid="{00000000-0005-0000-0000-00001D030000}"/>
    <cellStyle name="Accent1 2 20" xfId="799" xr:uid="{00000000-0005-0000-0000-00001E030000}"/>
    <cellStyle name="Accent1 2 21" xfId="800" xr:uid="{00000000-0005-0000-0000-00001F030000}"/>
    <cellStyle name="Accent1 2 22" xfId="801" xr:uid="{00000000-0005-0000-0000-000020030000}"/>
    <cellStyle name="Accent1 2 23" xfId="802" xr:uid="{00000000-0005-0000-0000-000021030000}"/>
    <cellStyle name="Accent1 2 24" xfId="803" xr:uid="{00000000-0005-0000-0000-000022030000}"/>
    <cellStyle name="Accent1 2 25" xfId="804" xr:uid="{00000000-0005-0000-0000-000023030000}"/>
    <cellStyle name="Accent1 2 26" xfId="805" xr:uid="{00000000-0005-0000-0000-000024030000}"/>
    <cellStyle name="Accent1 2 27" xfId="806" xr:uid="{00000000-0005-0000-0000-000025030000}"/>
    <cellStyle name="Accent1 2 28" xfId="807" xr:uid="{00000000-0005-0000-0000-000026030000}"/>
    <cellStyle name="Accent1 2 29" xfId="808" xr:uid="{00000000-0005-0000-0000-000027030000}"/>
    <cellStyle name="Accent1 2 3" xfId="809" xr:uid="{00000000-0005-0000-0000-000028030000}"/>
    <cellStyle name="Accent1 2 30" xfId="810" xr:uid="{00000000-0005-0000-0000-000029030000}"/>
    <cellStyle name="Accent1 2 31" xfId="811" xr:uid="{00000000-0005-0000-0000-00002A030000}"/>
    <cellStyle name="Accent1 2 32" xfId="812" xr:uid="{00000000-0005-0000-0000-00002B030000}"/>
    <cellStyle name="Accent1 2 33" xfId="813" xr:uid="{00000000-0005-0000-0000-00002C030000}"/>
    <cellStyle name="Accent1 2 34" xfId="814" xr:uid="{00000000-0005-0000-0000-00002D030000}"/>
    <cellStyle name="Accent1 2 35" xfId="815" xr:uid="{00000000-0005-0000-0000-00002E030000}"/>
    <cellStyle name="Accent1 2 36" xfId="816" xr:uid="{00000000-0005-0000-0000-00002F030000}"/>
    <cellStyle name="Accent1 2 37" xfId="817" xr:uid="{00000000-0005-0000-0000-000030030000}"/>
    <cellStyle name="Accent1 2 38" xfId="818" xr:uid="{00000000-0005-0000-0000-000031030000}"/>
    <cellStyle name="Accent1 2 39" xfId="819" xr:uid="{00000000-0005-0000-0000-000032030000}"/>
    <cellStyle name="Accent1 2 4" xfId="820" xr:uid="{00000000-0005-0000-0000-000033030000}"/>
    <cellStyle name="Accent1 2 40" xfId="821" xr:uid="{00000000-0005-0000-0000-000034030000}"/>
    <cellStyle name="Accent1 2 41" xfId="822" xr:uid="{00000000-0005-0000-0000-000035030000}"/>
    <cellStyle name="Accent1 2 42" xfId="823" xr:uid="{00000000-0005-0000-0000-000036030000}"/>
    <cellStyle name="Accent1 2 43" xfId="824" xr:uid="{00000000-0005-0000-0000-000037030000}"/>
    <cellStyle name="Accent1 2 44" xfId="825" xr:uid="{00000000-0005-0000-0000-000038030000}"/>
    <cellStyle name="Accent1 2 45" xfId="826" xr:uid="{00000000-0005-0000-0000-000039030000}"/>
    <cellStyle name="Accent1 2 46" xfId="827" xr:uid="{00000000-0005-0000-0000-00003A030000}"/>
    <cellStyle name="Accent1 2 47" xfId="828" xr:uid="{00000000-0005-0000-0000-00003B030000}"/>
    <cellStyle name="Accent1 2 48" xfId="829" xr:uid="{00000000-0005-0000-0000-00003C030000}"/>
    <cellStyle name="Accent1 2 49" xfId="830" xr:uid="{00000000-0005-0000-0000-00003D030000}"/>
    <cellStyle name="Accent1 2 5" xfId="831" xr:uid="{00000000-0005-0000-0000-00003E030000}"/>
    <cellStyle name="Accent1 2 6" xfId="832" xr:uid="{00000000-0005-0000-0000-00003F030000}"/>
    <cellStyle name="Accent1 2 7" xfId="833" xr:uid="{00000000-0005-0000-0000-000040030000}"/>
    <cellStyle name="Accent1 2 8" xfId="834" xr:uid="{00000000-0005-0000-0000-000041030000}"/>
    <cellStyle name="Accent1 2 9" xfId="835" xr:uid="{00000000-0005-0000-0000-000042030000}"/>
    <cellStyle name="Accent2 2" xfId="836" xr:uid="{00000000-0005-0000-0000-000043030000}"/>
    <cellStyle name="Accent2 2 10" xfId="837" xr:uid="{00000000-0005-0000-0000-000044030000}"/>
    <cellStyle name="Accent2 2 11" xfId="838" xr:uid="{00000000-0005-0000-0000-000045030000}"/>
    <cellStyle name="Accent2 2 12" xfId="839" xr:uid="{00000000-0005-0000-0000-000046030000}"/>
    <cellStyle name="Accent2 2 13" xfId="840" xr:uid="{00000000-0005-0000-0000-000047030000}"/>
    <cellStyle name="Accent2 2 14" xfId="841" xr:uid="{00000000-0005-0000-0000-000048030000}"/>
    <cellStyle name="Accent2 2 15" xfId="842" xr:uid="{00000000-0005-0000-0000-000049030000}"/>
    <cellStyle name="Accent2 2 16" xfId="843" xr:uid="{00000000-0005-0000-0000-00004A030000}"/>
    <cellStyle name="Accent2 2 17" xfId="844" xr:uid="{00000000-0005-0000-0000-00004B030000}"/>
    <cellStyle name="Accent2 2 18" xfId="845" xr:uid="{00000000-0005-0000-0000-00004C030000}"/>
    <cellStyle name="Accent2 2 19" xfId="846" xr:uid="{00000000-0005-0000-0000-00004D030000}"/>
    <cellStyle name="Accent2 2 2" xfId="847" xr:uid="{00000000-0005-0000-0000-00004E030000}"/>
    <cellStyle name="Accent2 2 20" xfId="848" xr:uid="{00000000-0005-0000-0000-00004F030000}"/>
    <cellStyle name="Accent2 2 21" xfId="849" xr:uid="{00000000-0005-0000-0000-000050030000}"/>
    <cellStyle name="Accent2 2 22" xfId="850" xr:uid="{00000000-0005-0000-0000-000051030000}"/>
    <cellStyle name="Accent2 2 23" xfId="851" xr:uid="{00000000-0005-0000-0000-000052030000}"/>
    <cellStyle name="Accent2 2 24" xfId="852" xr:uid="{00000000-0005-0000-0000-000053030000}"/>
    <cellStyle name="Accent2 2 25" xfId="853" xr:uid="{00000000-0005-0000-0000-000054030000}"/>
    <cellStyle name="Accent2 2 26" xfId="854" xr:uid="{00000000-0005-0000-0000-000055030000}"/>
    <cellStyle name="Accent2 2 27" xfId="855" xr:uid="{00000000-0005-0000-0000-000056030000}"/>
    <cellStyle name="Accent2 2 28" xfId="856" xr:uid="{00000000-0005-0000-0000-000057030000}"/>
    <cellStyle name="Accent2 2 29" xfId="857" xr:uid="{00000000-0005-0000-0000-000058030000}"/>
    <cellStyle name="Accent2 2 3" xfId="858" xr:uid="{00000000-0005-0000-0000-000059030000}"/>
    <cellStyle name="Accent2 2 30" xfId="859" xr:uid="{00000000-0005-0000-0000-00005A030000}"/>
    <cellStyle name="Accent2 2 31" xfId="860" xr:uid="{00000000-0005-0000-0000-00005B030000}"/>
    <cellStyle name="Accent2 2 32" xfId="861" xr:uid="{00000000-0005-0000-0000-00005C030000}"/>
    <cellStyle name="Accent2 2 33" xfId="862" xr:uid="{00000000-0005-0000-0000-00005D030000}"/>
    <cellStyle name="Accent2 2 34" xfId="863" xr:uid="{00000000-0005-0000-0000-00005E030000}"/>
    <cellStyle name="Accent2 2 35" xfId="864" xr:uid="{00000000-0005-0000-0000-00005F030000}"/>
    <cellStyle name="Accent2 2 36" xfId="865" xr:uid="{00000000-0005-0000-0000-000060030000}"/>
    <cellStyle name="Accent2 2 37" xfId="866" xr:uid="{00000000-0005-0000-0000-000061030000}"/>
    <cellStyle name="Accent2 2 38" xfId="867" xr:uid="{00000000-0005-0000-0000-000062030000}"/>
    <cellStyle name="Accent2 2 39" xfId="868" xr:uid="{00000000-0005-0000-0000-000063030000}"/>
    <cellStyle name="Accent2 2 4" xfId="869" xr:uid="{00000000-0005-0000-0000-000064030000}"/>
    <cellStyle name="Accent2 2 40" xfId="870" xr:uid="{00000000-0005-0000-0000-000065030000}"/>
    <cellStyle name="Accent2 2 41" xfId="871" xr:uid="{00000000-0005-0000-0000-000066030000}"/>
    <cellStyle name="Accent2 2 42" xfId="872" xr:uid="{00000000-0005-0000-0000-000067030000}"/>
    <cellStyle name="Accent2 2 43" xfId="873" xr:uid="{00000000-0005-0000-0000-000068030000}"/>
    <cellStyle name="Accent2 2 44" xfId="874" xr:uid="{00000000-0005-0000-0000-000069030000}"/>
    <cellStyle name="Accent2 2 45" xfId="875" xr:uid="{00000000-0005-0000-0000-00006A030000}"/>
    <cellStyle name="Accent2 2 46" xfId="876" xr:uid="{00000000-0005-0000-0000-00006B030000}"/>
    <cellStyle name="Accent2 2 47" xfId="877" xr:uid="{00000000-0005-0000-0000-00006C030000}"/>
    <cellStyle name="Accent2 2 48" xfId="878" xr:uid="{00000000-0005-0000-0000-00006D030000}"/>
    <cellStyle name="Accent2 2 49" xfId="879" xr:uid="{00000000-0005-0000-0000-00006E030000}"/>
    <cellStyle name="Accent2 2 5" xfId="880" xr:uid="{00000000-0005-0000-0000-00006F030000}"/>
    <cellStyle name="Accent2 2 6" xfId="881" xr:uid="{00000000-0005-0000-0000-000070030000}"/>
    <cellStyle name="Accent2 2 7" xfId="882" xr:uid="{00000000-0005-0000-0000-000071030000}"/>
    <cellStyle name="Accent2 2 8" xfId="883" xr:uid="{00000000-0005-0000-0000-000072030000}"/>
    <cellStyle name="Accent2 2 9" xfId="884" xr:uid="{00000000-0005-0000-0000-000073030000}"/>
    <cellStyle name="Accent3 2" xfId="885" xr:uid="{00000000-0005-0000-0000-000074030000}"/>
    <cellStyle name="Accent3 2 10" xfId="886" xr:uid="{00000000-0005-0000-0000-000075030000}"/>
    <cellStyle name="Accent3 2 11" xfId="887" xr:uid="{00000000-0005-0000-0000-000076030000}"/>
    <cellStyle name="Accent3 2 12" xfId="888" xr:uid="{00000000-0005-0000-0000-000077030000}"/>
    <cellStyle name="Accent3 2 13" xfId="889" xr:uid="{00000000-0005-0000-0000-000078030000}"/>
    <cellStyle name="Accent3 2 14" xfId="890" xr:uid="{00000000-0005-0000-0000-000079030000}"/>
    <cellStyle name="Accent3 2 15" xfId="891" xr:uid="{00000000-0005-0000-0000-00007A030000}"/>
    <cellStyle name="Accent3 2 16" xfId="892" xr:uid="{00000000-0005-0000-0000-00007B030000}"/>
    <cellStyle name="Accent3 2 17" xfId="893" xr:uid="{00000000-0005-0000-0000-00007C030000}"/>
    <cellStyle name="Accent3 2 18" xfId="894" xr:uid="{00000000-0005-0000-0000-00007D030000}"/>
    <cellStyle name="Accent3 2 19" xfId="895" xr:uid="{00000000-0005-0000-0000-00007E030000}"/>
    <cellStyle name="Accent3 2 2" xfId="896" xr:uid="{00000000-0005-0000-0000-00007F030000}"/>
    <cellStyle name="Accent3 2 20" xfId="897" xr:uid="{00000000-0005-0000-0000-000080030000}"/>
    <cellStyle name="Accent3 2 21" xfId="898" xr:uid="{00000000-0005-0000-0000-000081030000}"/>
    <cellStyle name="Accent3 2 22" xfId="899" xr:uid="{00000000-0005-0000-0000-000082030000}"/>
    <cellStyle name="Accent3 2 23" xfId="900" xr:uid="{00000000-0005-0000-0000-000083030000}"/>
    <cellStyle name="Accent3 2 24" xfId="901" xr:uid="{00000000-0005-0000-0000-000084030000}"/>
    <cellStyle name="Accent3 2 25" xfId="902" xr:uid="{00000000-0005-0000-0000-000085030000}"/>
    <cellStyle name="Accent3 2 26" xfId="903" xr:uid="{00000000-0005-0000-0000-000086030000}"/>
    <cellStyle name="Accent3 2 27" xfId="904" xr:uid="{00000000-0005-0000-0000-000087030000}"/>
    <cellStyle name="Accent3 2 28" xfId="905" xr:uid="{00000000-0005-0000-0000-000088030000}"/>
    <cellStyle name="Accent3 2 29" xfId="906" xr:uid="{00000000-0005-0000-0000-000089030000}"/>
    <cellStyle name="Accent3 2 3" xfId="907" xr:uid="{00000000-0005-0000-0000-00008A030000}"/>
    <cellStyle name="Accent3 2 30" xfId="908" xr:uid="{00000000-0005-0000-0000-00008B030000}"/>
    <cellStyle name="Accent3 2 31" xfId="909" xr:uid="{00000000-0005-0000-0000-00008C030000}"/>
    <cellStyle name="Accent3 2 32" xfId="910" xr:uid="{00000000-0005-0000-0000-00008D030000}"/>
    <cellStyle name="Accent3 2 33" xfId="911" xr:uid="{00000000-0005-0000-0000-00008E030000}"/>
    <cellStyle name="Accent3 2 34" xfId="912" xr:uid="{00000000-0005-0000-0000-00008F030000}"/>
    <cellStyle name="Accent3 2 35" xfId="913" xr:uid="{00000000-0005-0000-0000-000090030000}"/>
    <cellStyle name="Accent3 2 36" xfId="914" xr:uid="{00000000-0005-0000-0000-000091030000}"/>
    <cellStyle name="Accent3 2 37" xfId="915" xr:uid="{00000000-0005-0000-0000-000092030000}"/>
    <cellStyle name="Accent3 2 38" xfId="916" xr:uid="{00000000-0005-0000-0000-000093030000}"/>
    <cellStyle name="Accent3 2 39" xfId="917" xr:uid="{00000000-0005-0000-0000-000094030000}"/>
    <cellStyle name="Accent3 2 4" xfId="918" xr:uid="{00000000-0005-0000-0000-000095030000}"/>
    <cellStyle name="Accent3 2 40" xfId="919" xr:uid="{00000000-0005-0000-0000-000096030000}"/>
    <cellStyle name="Accent3 2 41" xfId="920" xr:uid="{00000000-0005-0000-0000-000097030000}"/>
    <cellStyle name="Accent3 2 42" xfId="921" xr:uid="{00000000-0005-0000-0000-000098030000}"/>
    <cellStyle name="Accent3 2 43" xfId="922" xr:uid="{00000000-0005-0000-0000-000099030000}"/>
    <cellStyle name="Accent3 2 44" xfId="923" xr:uid="{00000000-0005-0000-0000-00009A030000}"/>
    <cellStyle name="Accent3 2 45" xfId="924" xr:uid="{00000000-0005-0000-0000-00009B030000}"/>
    <cellStyle name="Accent3 2 46" xfId="925" xr:uid="{00000000-0005-0000-0000-00009C030000}"/>
    <cellStyle name="Accent3 2 47" xfId="926" xr:uid="{00000000-0005-0000-0000-00009D030000}"/>
    <cellStyle name="Accent3 2 48" xfId="927" xr:uid="{00000000-0005-0000-0000-00009E030000}"/>
    <cellStyle name="Accent3 2 49" xfId="928" xr:uid="{00000000-0005-0000-0000-00009F030000}"/>
    <cellStyle name="Accent3 2 5" xfId="929" xr:uid="{00000000-0005-0000-0000-0000A0030000}"/>
    <cellStyle name="Accent3 2 6" xfId="930" xr:uid="{00000000-0005-0000-0000-0000A1030000}"/>
    <cellStyle name="Accent3 2 7" xfId="931" xr:uid="{00000000-0005-0000-0000-0000A2030000}"/>
    <cellStyle name="Accent3 2 8" xfId="932" xr:uid="{00000000-0005-0000-0000-0000A3030000}"/>
    <cellStyle name="Accent3 2 9" xfId="933" xr:uid="{00000000-0005-0000-0000-0000A4030000}"/>
    <cellStyle name="Accent4 2" xfId="934" xr:uid="{00000000-0005-0000-0000-0000A5030000}"/>
    <cellStyle name="Accent4 2 10" xfId="935" xr:uid="{00000000-0005-0000-0000-0000A6030000}"/>
    <cellStyle name="Accent4 2 11" xfId="936" xr:uid="{00000000-0005-0000-0000-0000A7030000}"/>
    <cellStyle name="Accent4 2 12" xfId="937" xr:uid="{00000000-0005-0000-0000-0000A8030000}"/>
    <cellStyle name="Accent4 2 13" xfId="938" xr:uid="{00000000-0005-0000-0000-0000A9030000}"/>
    <cellStyle name="Accent4 2 14" xfId="939" xr:uid="{00000000-0005-0000-0000-0000AA030000}"/>
    <cellStyle name="Accent4 2 15" xfId="940" xr:uid="{00000000-0005-0000-0000-0000AB030000}"/>
    <cellStyle name="Accent4 2 16" xfId="941" xr:uid="{00000000-0005-0000-0000-0000AC030000}"/>
    <cellStyle name="Accent4 2 17" xfId="942" xr:uid="{00000000-0005-0000-0000-0000AD030000}"/>
    <cellStyle name="Accent4 2 18" xfId="943" xr:uid="{00000000-0005-0000-0000-0000AE030000}"/>
    <cellStyle name="Accent4 2 19" xfId="944" xr:uid="{00000000-0005-0000-0000-0000AF030000}"/>
    <cellStyle name="Accent4 2 2" xfId="945" xr:uid="{00000000-0005-0000-0000-0000B0030000}"/>
    <cellStyle name="Accent4 2 20" xfId="946" xr:uid="{00000000-0005-0000-0000-0000B1030000}"/>
    <cellStyle name="Accent4 2 21" xfId="947" xr:uid="{00000000-0005-0000-0000-0000B2030000}"/>
    <cellStyle name="Accent4 2 22" xfId="948" xr:uid="{00000000-0005-0000-0000-0000B3030000}"/>
    <cellStyle name="Accent4 2 23" xfId="949" xr:uid="{00000000-0005-0000-0000-0000B4030000}"/>
    <cellStyle name="Accent4 2 24" xfId="950" xr:uid="{00000000-0005-0000-0000-0000B5030000}"/>
    <cellStyle name="Accent4 2 25" xfId="951" xr:uid="{00000000-0005-0000-0000-0000B6030000}"/>
    <cellStyle name="Accent4 2 26" xfId="952" xr:uid="{00000000-0005-0000-0000-0000B7030000}"/>
    <cellStyle name="Accent4 2 27" xfId="953" xr:uid="{00000000-0005-0000-0000-0000B8030000}"/>
    <cellStyle name="Accent4 2 28" xfId="954" xr:uid="{00000000-0005-0000-0000-0000B9030000}"/>
    <cellStyle name="Accent4 2 29" xfId="955" xr:uid="{00000000-0005-0000-0000-0000BA030000}"/>
    <cellStyle name="Accent4 2 3" xfId="956" xr:uid="{00000000-0005-0000-0000-0000BB030000}"/>
    <cellStyle name="Accent4 2 30" xfId="957" xr:uid="{00000000-0005-0000-0000-0000BC030000}"/>
    <cellStyle name="Accent4 2 31" xfId="958" xr:uid="{00000000-0005-0000-0000-0000BD030000}"/>
    <cellStyle name="Accent4 2 32" xfId="959" xr:uid="{00000000-0005-0000-0000-0000BE030000}"/>
    <cellStyle name="Accent4 2 33" xfId="960" xr:uid="{00000000-0005-0000-0000-0000BF030000}"/>
    <cellStyle name="Accent4 2 34" xfId="961" xr:uid="{00000000-0005-0000-0000-0000C0030000}"/>
    <cellStyle name="Accent4 2 35" xfId="962" xr:uid="{00000000-0005-0000-0000-0000C1030000}"/>
    <cellStyle name="Accent4 2 36" xfId="963" xr:uid="{00000000-0005-0000-0000-0000C2030000}"/>
    <cellStyle name="Accent4 2 37" xfId="964" xr:uid="{00000000-0005-0000-0000-0000C3030000}"/>
    <cellStyle name="Accent4 2 38" xfId="965" xr:uid="{00000000-0005-0000-0000-0000C4030000}"/>
    <cellStyle name="Accent4 2 39" xfId="966" xr:uid="{00000000-0005-0000-0000-0000C5030000}"/>
    <cellStyle name="Accent4 2 4" xfId="967" xr:uid="{00000000-0005-0000-0000-0000C6030000}"/>
    <cellStyle name="Accent4 2 40" xfId="968" xr:uid="{00000000-0005-0000-0000-0000C7030000}"/>
    <cellStyle name="Accent4 2 41" xfId="969" xr:uid="{00000000-0005-0000-0000-0000C8030000}"/>
    <cellStyle name="Accent4 2 42" xfId="970" xr:uid="{00000000-0005-0000-0000-0000C9030000}"/>
    <cellStyle name="Accent4 2 43" xfId="971" xr:uid="{00000000-0005-0000-0000-0000CA030000}"/>
    <cellStyle name="Accent4 2 44" xfId="972" xr:uid="{00000000-0005-0000-0000-0000CB030000}"/>
    <cellStyle name="Accent4 2 45" xfId="973" xr:uid="{00000000-0005-0000-0000-0000CC030000}"/>
    <cellStyle name="Accent4 2 46" xfId="974" xr:uid="{00000000-0005-0000-0000-0000CD030000}"/>
    <cellStyle name="Accent4 2 47" xfId="975" xr:uid="{00000000-0005-0000-0000-0000CE030000}"/>
    <cellStyle name="Accent4 2 48" xfId="976" xr:uid="{00000000-0005-0000-0000-0000CF030000}"/>
    <cellStyle name="Accent4 2 49" xfId="977" xr:uid="{00000000-0005-0000-0000-0000D0030000}"/>
    <cellStyle name="Accent4 2 5" xfId="978" xr:uid="{00000000-0005-0000-0000-0000D1030000}"/>
    <cellStyle name="Accent4 2 6" xfId="979" xr:uid="{00000000-0005-0000-0000-0000D2030000}"/>
    <cellStyle name="Accent4 2 7" xfId="980" xr:uid="{00000000-0005-0000-0000-0000D3030000}"/>
    <cellStyle name="Accent4 2 8" xfId="981" xr:uid="{00000000-0005-0000-0000-0000D4030000}"/>
    <cellStyle name="Accent4 2 9" xfId="982" xr:uid="{00000000-0005-0000-0000-0000D5030000}"/>
    <cellStyle name="Accent5" xfId="983" builtinId="45" customBuiltin="1"/>
    <cellStyle name="Accent6 2" xfId="984" xr:uid="{00000000-0005-0000-0000-0000D7030000}"/>
    <cellStyle name="Accent6 2 10" xfId="985" xr:uid="{00000000-0005-0000-0000-0000D8030000}"/>
    <cellStyle name="Accent6 2 11" xfId="986" xr:uid="{00000000-0005-0000-0000-0000D9030000}"/>
    <cellStyle name="Accent6 2 12" xfId="987" xr:uid="{00000000-0005-0000-0000-0000DA030000}"/>
    <cellStyle name="Accent6 2 13" xfId="988" xr:uid="{00000000-0005-0000-0000-0000DB030000}"/>
    <cellStyle name="Accent6 2 14" xfId="989" xr:uid="{00000000-0005-0000-0000-0000DC030000}"/>
    <cellStyle name="Accent6 2 15" xfId="990" xr:uid="{00000000-0005-0000-0000-0000DD030000}"/>
    <cellStyle name="Accent6 2 16" xfId="991" xr:uid="{00000000-0005-0000-0000-0000DE030000}"/>
    <cellStyle name="Accent6 2 17" xfId="992" xr:uid="{00000000-0005-0000-0000-0000DF030000}"/>
    <cellStyle name="Accent6 2 18" xfId="993" xr:uid="{00000000-0005-0000-0000-0000E0030000}"/>
    <cellStyle name="Accent6 2 19" xfId="994" xr:uid="{00000000-0005-0000-0000-0000E1030000}"/>
    <cellStyle name="Accent6 2 2" xfId="995" xr:uid="{00000000-0005-0000-0000-0000E2030000}"/>
    <cellStyle name="Accent6 2 20" xfId="996" xr:uid="{00000000-0005-0000-0000-0000E3030000}"/>
    <cellStyle name="Accent6 2 21" xfId="997" xr:uid="{00000000-0005-0000-0000-0000E4030000}"/>
    <cellStyle name="Accent6 2 22" xfId="998" xr:uid="{00000000-0005-0000-0000-0000E5030000}"/>
    <cellStyle name="Accent6 2 23" xfId="999" xr:uid="{00000000-0005-0000-0000-0000E6030000}"/>
    <cellStyle name="Accent6 2 24" xfId="1000" xr:uid="{00000000-0005-0000-0000-0000E7030000}"/>
    <cellStyle name="Accent6 2 25" xfId="1001" xr:uid="{00000000-0005-0000-0000-0000E8030000}"/>
    <cellStyle name="Accent6 2 26" xfId="1002" xr:uid="{00000000-0005-0000-0000-0000E9030000}"/>
    <cellStyle name="Accent6 2 27" xfId="1003" xr:uid="{00000000-0005-0000-0000-0000EA030000}"/>
    <cellStyle name="Accent6 2 28" xfId="1004" xr:uid="{00000000-0005-0000-0000-0000EB030000}"/>
    <cellStyle name="Accent6 2 29" xfId="1005" xr:uid="{00000000-0005-0000-0000-0000EC030000}"/>
    <cellStyle name="Accent6 2 3" xfId="1006" xr:uid="{00000000-0005-0000-0000-0000ED030000}"/>
    <cellStyle name="Accent6 2 30" xfId="1007" xr:uid="{00000000-0005-0000-0000-0000EE030000}"/>
    <cellStyle name="Accent6 2 31" xfId="1008" xr:uid="{00000000-0005-0000-0000-0000EF030000}"/>
    <cellStyle name="Accent6 2 32" xfId="1009" xr:uid="{00000000-0005-0000-0000-0000F0030000}"/>
    <cellStyle name="Accent6 2 33" xfId="1010" xr:uid="{00000000-0005-0000-0000-0000F1030000}"/>
    <cellStyle name="Accent6 2 34" xfId="1011" xr:uid="{00000000-0005-0000-0000-0000F2030000}"/>
    <cellStyle name="Accent6 2 35" xfId="1012" xr:uid="{00000000-0005-0000-0000-0000F3030000}"/>
    <cellStyle name="Accent6 2 36" xfId="1013" xr:uid="{00000000-0005-0000-0000-0000F4030000}"/>
    <cellStyle name="Accent6 2 37" xfId="1014" xr:uid="{00000000-0005-0000-0000-0000F5030000}"/>
    <cellStyle name="Accent6 2 38" xfId="1015" xr:uid="{00000000-0005-0000-0000-0000F6030000}"/>
    <cellStyle name="Accent6 2 39" xfId="1016" xr:uid="{00000000-0005-0000-0000-0000F7030000}"/>
    <cellStyle name="Accent6 2 4" xfId="1017" xr:uid="{00000000-0005-0000-0000-0000F8030000}"/>
    <cellStyle name="Accent6 2 40" xfId="1018" xr:uid="{00000000-0005-0000-0000-0000F9030000}"/>
    <cellStyle name="Accent6 2 41" xfId="1019" xr:uid="{00000000-0005-0000-0000-0000FA030000}"/>
    <cellStyle name="Accent6 2 42" xfId="1020" xr:uid="{00000000-0005-0000-0000-0000FB030000}"/>
    <cellStyle name="Accent6 2 43" xfId="1021" xr:uid="{00000000-0005-0000-0000-0000FC030000}"/>
    <cellStyle name="Accent6 2 44" xfId="1022" xr:uid="{00000000-0005-0000-0000-0000FD030000}"/>
    <cellStyle name="Accent6 2 45" xfId="1023" xr:uid="{00000000-0005-0000-0000-0000FE030000}"/>
    <cellStyle name="Accent6 2 46" xfId="1024" xr:uid="{00000000-0005-0000-0000-0000FF030000}"/>
    <cellStyle name="Accent6 2 47" xfId="1025" xr:uid="{00000000-0005-0000-0000-000000040000}"/>
    <cellStyle name="Accent6 2 48" xfId="1026" xr:uid="{00000000-0005-0000-0000-000001040000}"/>
    <cellStyle name="Accent6 2 49" xfId="1027" xr:uid="{00000000-0005-0000-0000-000002040000}"/>
    <cellStyle name="Accent6 2 5" xfId="1028" xr:uid="{00000000-0005-0000-0000-000003040000}"/>
    <cellStyle name="Accent6 2 6" xfId="1029" xr:uid="{00000000-0005-0000-0000-000004040000}"/>
    <cellStyle name="Accent6 2 7" xfId="1030" xr:uid="{00000000-0005-0000-0000-000005040000}"/>
    <cellStyle name="Accent6 2 8" xfId="1031" xr:uid="{00000000-0005-0000-0000-000006040000}"/>
    <cellStyle name="Accent6 2 9" xfId="1032" xr:uid="{00000000-0005-0000-0000-000007040000}"/>
    <cellStyle name="Bad 2" xfId="1033" xr:uid="{00000000-0005-0000-0000-000008040000}"/>
    <cellStyle name="Bad 2 10" xfId="1034" xr:uid="{00000000-0005-0000-0000-000009040000}"/>
    <cellStyle name="Bad 2 11" xfId="1035" xr:uid="{00000000-0005-0000-0000-00000A040000}"/>
    <cellStyle name="Bad 2 12" xfId="1036" xr:uid="{00000000-0005-0000-0000-00000B040000}"/>
    <cellStyle name="Bad 2 13" xfId="1037" xr:uid="{00000000-0005-0000-0000-00000C040000}"/>
    <cellStyle name="Bad 2 14" xfId="1038" xr:uid="{00000000-0005-0000-0000-00000D040000}"/>
    <cellStyle name="Bad 2 15" xfId="1039" xr:uid="{00000000-0005-0000-0000-00000E040000}"/>
    <cellStyle name="Bad 2 16" xfId="1040" xr:uid="{00000000-0005-0000-0000-00000F040000}"/>
    <cellStyle name="Bad 2 17" xfId="1041" xr:uid="{00000000-0005-0000-0000-000010040000}"/>
    <cellStyle name="Bad 2 18" xfId="1042" xr:uid="{00000000-0005-0000-0000-000011040000}"/>
    <cellStyle name="Bad 2 19" xfId="1043" xr:uid="{00000000-0005-0000-0000-000012040000}"/>
    <cellStyle name="Bad 2 2" xfId="1044" xr:uid="{00000000-0005-0000-0000-000013040000}"/>
    <cellStyle name="Bad 2 20" xfId="1045" xr:uid="{00000000-0005-0000-0000-000014040000}"/>
    <cellStyle name="Bad 2 21" xfId="1046" xr:uid="{00000000-0005-0000-0000-000015040000}"/>
    <cellStyle name="Bad 2 22" xfId="1047" xr:uid="{00000000-0005-0000-0000-000016040000}"/>
    <cellStyle name="Bad 2 23" xfId="1048" xr:uid="{00000000-0005-0000-0000-000017040000}"/>
    <cellStyle name="Bad 2 24" xfId="1049" xr:uid="{00000000-0005-0000-0000-000018040000}"/>
    <cellStyle name="Bad 2 25" xfId="1050" xr:uid="{00000000-0005-0000-0000-000019040000}"/>
    <cellStyle name="Bad 2 26" xfId="1051" xr:uid="{00000000-0005-0000-0000-00001A040000}"/>
    <cellStyle name="Bad 2 27" xfId="1052" xr:uid="{00000000-0005-0000-0000-00001B040000}"/>
    <cellStyle name="Bad 2 28" xfId="1053" xr:uid="{00000000-0005-0000-0000-00001C040000}"/>
    <cellStyle name="Bad 2 29" xfId="1054" xr:uid="{00000000-0005-0000-0000-00001D040000}"/>
    <cellStyle name="Bad 2 3" xfId="1055" xr:uid="{00000000-0005-0000-0000-00001E040000}"/>
    <cellStyle name="Bad 2 30" xfId="1056" xr:uid="{00000000-0005-0000-0000-00001F040000}"/>
    <cellStyle name="Bad 2 31" xfId="1057" xr:uid="{00000000-0005-0000-0000-000020040000}"/>
    <cellStyle name="Bad 2 32" xfId="1058" xr:uid="{00000000-0005-0000-0000-000021040000}"/>
    <cellStyle name="Bad 2 33" xfId="1059" xr:uid="{00000000-0005-0000-0000-000022040000}"/>
    <cellStyle name="Bad 2 34" xfId="1060" xr:uid="{00000000-0005-0000-0000-000023040000}"/>
    <cellStyle name="Bad 2 35" xfId="1061" xr:uid="{00000000-0005-0000-0000-000024040000}"/>
    <cellStyle name="Bad 2 36" xfId="1062" xr:uid="{00000000-0005-0000-0000-000025040000}"/>
    <cellStyle name="Bad 2 37" xfId="1063" xr:uid="{00000000-0005-0000-0000-000026040000}"/>
    <cellStyle name="Bad 2 38" xfId="1064" xr:uid="{00000000-0005-0000-0000-000027040000}"/>
    <cellStyle name="Bad 2 39" xfId="1065" xr:uid="{00000000-0005-0000-0000-000028040000}"/>
    <cellStyle name="Bad 2 4" xfId="1066" xr:uid="{00000000-0005-0000-0000-000029040000}"/>
    <cellStyle name="Bad 2 40" xfId="1067" xr:uid="{00000000-0005-0000-0000-00002A040000}"/>
    <cellStyle name="Bad 2 41" xfId="1068" xr:uid="{00000000-0005-0000-0000-00002B040000}"/>
    <cellStyle name="Bad 2 42" xfId="1069" xr:uid="{00000000-0005-0000-0000-00002C040000}"/>
    <cellStyle name="Bad 2 43" xfId="1070" xr:uid="{00000000-0005-0000-0000-00002D040000}"/>
    <cellStyle name="Bad 2 44" xfId="1071" xr:uid="{00000000-0005-0000-0000-00002E040000}"/>
    <cellStyle name="Bad 2 45" xfId="1072" xr:uid="{00000000-0005-0000-0000-00002F040000}"/>
    <cellStyle name="Bad 2 46" xfId="1073" xr:uid="{00000000-0005-0000-0000-000030040000}"/>
    <cellStyle name="Bad 2 47" xfId="1074" xr:uid="{00000000-0005-0000-0000-000031040000}"/>
    <cellStyle name="Bad 2 48" xfId="1075" xr:uid="{00000000-0005-0000-0000-000032040000}"/>
    <cellStyle name="Bad 2 49" xfId="1076" xr:uid="{00000000-0005-0000-0000-000033040000}"/>
    <cellStyle name="Bad 2 5" xfId="1077" xr:uid="{00000000-0005-0000-0000-000034040000}"/>
    <cellStyle name="Bad 2 6" xfId="1078" xr:uid="{00000000-0005-0000-0000-000035040000}"/>
    <cellStyle name="Bad 2 7" xfId="1079" xr:uid="{00000000-0005-0000-0000-000036040000}"/>
    <cellStyle name="Bad 2 8" xfId="1080" xr:uid="{00000000-0005-0000-0000-000037040000}"/>
    <cellStyle name="Bad 2 9" xfId="1081" xr:uid="{00000000-0005-0000-0000-000038040000}"/>
    <cellStyle name="Calculation 2" xfId="1082" xr:uid="{00000000-0005-0000-0000-000039040000}"/>
    <cellStyle name="Calculation 2 10" xfId="1083" xr:uid="{00000000-0005-0000-0000-00003A040000}"/>
    <cellStyle name="Calculation 2 11" xfId="1084" xr:uid="{00000000-0005-0000-0000-00003B040000}"/>
    <cellStyle name="Calculation 2 12" xfId="1085" xr:uid="{00000000-0005-0000-0000-00003C040000}"/>
    <cellStyle name="Calculation 2 13" xfId="1086" xr:uid="{00000000-0005-0000-0000-00003D040000}"/>
    <cellStyle name="Calculation 2 14" xfId="1087" xr:uid="{00000000-0005-0000-0000-00003E040000}"/>
    <cellStyle name="Calculation 2 15" xfId="1088" xr:uid="{00000000-0005-0000-0000-00003F040000}"/>
    <cellStyle name="Calculation 2 16" xfId="1089" xr:uid="{00000000-0005-0000-0000-000040040000}"/>
    <cellStyle name="Calculation 2 17" xfId="1090" xr:uid="{00000000-0005-0000-0000-000041040000}"/>
    <cellStyle name="Calculation 2 18" xfId="1091" xr:uid="{00000000-0005-0000-0000-000042040000}"/>
    <cellStyle name="Calculation 2 19" xfId="1092" xr:uid="{00000000-0005-0000-0000-000043040000}"/>
    <cellStyle name="Calculation 2 2" xfId="1093" xr:uid="{00000000-0005-0000-0000-000044040000}"/>
    <cellStyle name="Calculation 2 20" xfId="1094" xr:uid="{00000000-0005-0000-0000-000045040000}"/>
    <cellStyle name="Calculation 2 21" xfId="1095" xr:uid="{00000000-0005-0000-0000-000046040000}"/>
    <cellStyle name="Calculation 2 22" xfId="1096" xr:uid="{00000000-0005-0000-0000-000047040000}"/>
    <cellStyle name="Calculation 2 23" xfId="1097" xr:uid="{00000000-0005-0000-0000-000048040000}"/>
    <cellStyle name="Calculation 2 24" xfId="1098" xr:uid="{00000000-0005-0000-0000-000049040000}"/>
    <cellStyle name="Calculation 2 25" xfId="1099" xr:uid="{00000000-0005-0000-0000-00004A040000}"/>
    <cellStyle name="Calculation 2 26" xfId="1100" xr:uid="{00000000-0005-0000-0000-00004B040000}"/>
    <cellStyle name="Calculation 2 27" xfId="1101" xr:uid="{00000000-0005-0000-0000-00004C040000}"/>
    <cellStyle name="Calculation 2 28" xfId="1102" xr:uid="{00000000-0005-0000-0000-00004D040000}"/>
    <cellStyle name="Calculation 2 29" xfId="1103" xr:uid="{00000000-0005-0000-0000-00004E040000}"/>
    <cellStyle name="Calculation 2 3" xfId="1104" xr:uid="{00000000-0005-0000-0000-00004F040000}"/>
    <cellStyle name="Calculation 2 30" xfId="1105" xr:uid="{00000000-0005-0000-0000-000050040000}"/>
    <cellStyle name="Calculation 2 31" xfId="1106" xr:uid="{00000000-0005-0000-0000-000051040000}"/>
    <cellStyle name="Calculation 2 32" xfId="1107" xr:uid="{00000000-0005-0000-0000-000052040000}"/>
    <cellStyle name="Calculation 2 33" xfId="1108" xr:uid="{00000000-0005-0000-0000-000053040000}"/>
    <cellStyle name="Calculation 2 34" xfId="1109" xr:uid="{00000000-0005-0000-0000-000054040000}"/>
    <cellStyle name="Calculation 2 35" xfId="1110" xr:uid="{00000000-0005-0000-0000-000055040000}"/>
    <cellStyle name="Calculation 2 36" xfId="1111" xr:uid="{00000000-0005-0000-0000-000056040000}"/>
    <cellStyle name="Calculation 2 37" xfId="1112" xr:uid="{00000000-0005-0000-0000-000057040000}"/>
    <cellStyle name="Calculation 2 38" xfId="1113" xr:uid="{00000000-0005-0000-0000-000058040000}"/>
    <cellStyle name="Calculation 2 39" xfId="1114" xr:uid="{00000000-0005-0000-0000-000059040000}"/>
    <cellStyle name="Calculation 2 4" xfId="1115" xr:uid="{00000000-0005-0000-0000-00005A040000}"/>
    <cellStyle name="Calculation 2 40" xfId="1116" xr:uid="{00000000-0005-0000-0000-00005B040000}"/>
    <cellStyle name="Calculation 2 41" xfId="1117" xr:uid="{00000000-0005-0000-0000-00005C040000}"/>
    <cellStyle name="Calculation 2 42" xfId="1118" xr:uid="{00000000-0005-0000-0000-00005D040000}"/>
    <cellStyle name="Calculation 2 43" xfId="1119" xr:uid="{00000000-0005-0000-0000-00005E040000}"/>
    <cellStyle name="Calculation 2 44" xfId="1120" xr:uid="{00000000-0005-0000-0000-00005F040000}"/>
    <cellStyle name="Calculation 2 45" xfId="1121" xr:uid="{00000000-0005-0000-0000-000060040000}"/>
    <cellStyle name="Calculation 2 46" xfId="1122" xr:uid="{00000000-0005-0000-0000-000061040000}"/>
    <cellStyle name="Calculation 2 47" xfId="1123" xr:uid="{00000000-0005-0000-0000-000062040000}"/>
    <cellStyle name="Calculation 2 48" xfId="1124" xr:uid="{00000000-0005-0000-0000-000063040000}"/>
    <cellStyle name="Calculation 2 49" xfId="1125" xr:uid="{00000000-0005-0000-0000-000064040000}"/>
    <cellStyle name="Calculation 2 5" xfId="1126" xr:uid="{00000000-0005-0000-0000-000065040000}"/>
    <cellStyle name="Calculation 2 6" xfId="1127" xr:uid="{00000000-0005-0000-0000-000066040000}"/>
    <cellStyle name="Calculation 2 7" xfId="1128" xr:uid="{00000000-0005-0000-0000-000067040000}"/>
    <cellStyle name="Calculation 2 8" xfId="1129" xr:uid="{00000000-0005-0000-0000-000068040000}"/>
    <cellStyle name="Calculation 2 9" xfId="1130" xr:uid="{00000000-0005-0000-0000-000069040000}"/>
    <cellStyle name="Check Cell" xfId="1131" builtinId="23" customBuiltin="1"/>
    <cellStyle name="Explanatory Text" xfId="1132" builtinId="53" customBuiltin="1"/>
    <cellStyle name="Good 2" xfId="1133" xr:uid="{00000000-0005-0000-0000-00006C040000}"/>
    <cellStyle name="Good 2 10" xfId="1134" xr:uid="{00000000-0005-0000-0000-00006D040000}"/>
    <cellStyle name="Good 2 11" xfId="1135" xr:uid="{00000000-0005-0000-0000-00006E040000}"/>
    <cellStyle name="Good 2 12" xfId="1136" xr:uid="{00000000-0005-0000-0000-00006F040000}"/>
    <cellStyle name="Good 2 13" xfId="1137" xr:uid="{00000000-0005-0000-0000-000070040000}"/>
    <cellStyle name="Good 2 14" xfId="1138" xr:uid="{00000000-0005-0000-0000-000071040000}"/>
    <cellStyle name="Good 2 15" xfId="1139" xr:uid="{00000000-0005-0000-0000-000072040000}"/>
    <cellStyle name="Good 2 16" xfId="1140" xr:uid="{00000000-0005-0000-0000-000073040000}"/>
    <cellStyle name="Good 2 17" xfId="1141" xr:uid="{00000000-0005-0000-0000-000074040000}"/>
    <cellStyle name="Good 2 18" xfId="1142" xr:uid="{00000000-0005-0000-0000-000075040000}"/>
    <cellStyle name="Good 2 19" xfId="1143" xr:uid="{00000000-0005-0000-0000-000076040000}"/>
    <cellStyle name="Good 2 2" xfId="1144" xr:uid="{00000000-0005-0000-0000-000077040000}"/>
    <cellStyle name="Good 2 20" xfId="1145" xr:uid="{00000000-0005-0000-0000-000078040000}"/>
    <cellStyle name="Good 2 21" xfId="1146" xr:uid="{00000000-0005-0000-0000-000079040000}"/>
    <cellStyle name="Good 2 22" xfId="1147" xr:uid="{00000000-0005-0000-0000-00007A040000}"/>
    <cellStyle name="Good 2 23" xfId="1148" xr:uid="{00000000-0005-0000-0000-00007B040000}"/>
    <cellStyle name="Good 2 24" xfId="1149" xr:uid="{00000000-0005-0000-0000-00007C040000}"/>
    <cellStyle name="Good 2 25" xfId="1150" xr:uid="{00000000-0005-0000-0000-00007D040000}"/>
    <cellStyle name="Good 2 26" xfId="1151" xr:uid="{00000000-0005-0000-0000-00007E040000}"/>
    <cellStyle name="Good 2 27" xfId="1152" xr:uid="{00000000-0005-0000-0000-00007F040000}"/>
    <cellStyle name="Good 2 28" xfId="1153" xr:uid="{00000000-0005-0000-0000-000080040000}"/>
    <cellStyle name="Good 2 29" xfId="1154" xr:uid="{00000000-0005-0000-0000-000081040000}"/>
    <cellStyle name="Good 2 3" xfId="1155" xr:uid="{00000000-0005-0000-0000-000082040000}"/>
    <cellStyle name="Good 2 30" xfId="1156" xr:uid="{00000000-0005-0000-0000-000083040000}"/>
    <cellStyle name="Good 2 31" xfId="1157" xr:uid="{00000000-0005-0000-0000-000084040000}"/>
    <cellStyle name="Good 2 32" xfId="1158" xr:uid="{00000000-0005-0000-0000-000085040000}"/>
    <cellStyle name="Good 2 33" xfId="1159" xr:uid="{00000000-0005-0000-0000-000086040000}"/>
    <cellStyle name="Good 2 34" xfId="1160" xr:uid="{00000000-0005-0000-0000-000087040000}"/>
    <cellStyle name="Good 2 35" xfId="1161" xr:uid="{00000000-0005-0000-0000-000088040000}"/>
    <cellStyle name="Good 2 36" xfId="1162" xr:uid="{00000000-0005-0000-0000-000089040000}"/>
    <cellStyle name="Good 2 37" xfId="1163" xr:uid="{00000000-0005-0000-0000-00008A040000}"/>
    <cellStyle name="Good 2 38" xfId="1164" xr:uid="{00000000-0005-0000-0000-00008B040000}"/>
    <cellStyle name="Good 2 39" xfId="1165" xr:uid="{00000000-0005-0000-0000-00008C040000}"/>
    <cellStyle name="Good 2 4" xfId="1166" xr:uid="{00000000-0005-0000-0000-00008D040000}"/>
    <cellStyle name="Good 2 40" xfId="1167" xr:uid="{00000000-0005-0000-0000-00008E040000}"/>
    <cellStyle name="Good 2 41" xfId="1168" xr:uid="{00000000-0005-0000-0000-00008F040000}"/>
    <cellStyle name="Good 2 42" xfId="1169" xr:uid="{00000000-0005-0000-0000-000090040000}"/>
    <cellStyle name="Good 2 43" xfId="1170" xr:uid="{00000000-0005-0000-0000-000091040000}"/>
    <cellStyle name="Good 2 44" xfId="1171" xr:uid="{00000000-0005-0000-0000-000092040000}"/>
    <cellStyle name="Good 2 45" xfId="1172" xr:uid="{00000000-0005-0000-0000-000093040000}"/>
    <cellStyle name="Good 2 46" xfId="1173" xr:uid="{00000000-0005-0000-0000-000094040000}"/>
    <cellStyle name="Good 2 47" xfId="1174" xr:uid="{00000000-0005-0000-0000-000095040000}"/>
    <cellStyle name="Good 2 48" xfId="1175" xr:uid="{00000000-0005-0000-0000-000096040000}"/>
    <cellStyle name="Good 2 49" xfId="1176" xr:uid="{00000000-0005-0000-0000-000097040000}"/>
    <cellStyle name="Good 2 5" xfId="1177" xr:uid="{00000000-0005-0000-0000-000098040000}"/>
    <cellStyle name="Good 2 6" xfId="1178" xr:uid="{00000000-0005-0000-0000-000099040000}"/>
    <cellStyle name="Good 2 7" xfId="1179" xr:uid="{00000000-0005-0000-0000-00009A040000}"/>
    <cellStyle name="Good 2 8" xfId="1180" xr:uid="{00000000-0005-0000-0000-00009B040000}"/>
    <cellStyle name="Good 2 9" xfId="1181" xr:uid="{00000000-0005-0000-0000-00009C040000}"/>
    <cellStyle name="Heading 1 2" xfId="1182" xr:uid="{00000000-0005-0000-0000-00009D040000}"/>
    <cellStyle name="Heading 1 2 10" xfId="1183" xr:uid="{00000000-0005-0000-0000-00009E040000}"/>
    <cellStyle name="Heading 1 2 11" xfId="1184" xr:uid="{00000000-0005-0000-0000-00009F040000}"/>
    <cellStyle name="Heading 1 2 12" xfId="1185" xr:uid="{00000000-0005-0000-0000-0000A0040000}"/>
    <cellStyle name="Heading 1 2 13" xfId="1186" xr:uid="{00000000-0005-0000-0000-0000A1040000}"/>
    <cellStyle name="Heading 1 2 14" xfId="1187" xr:uid="{00000000-0005-0000-0000-0000A2040000}"/>
    <cellStyle name="Heading 1 2 15" xfId="1188" xr:uid="{00000000-0005-0000-0000-0000A3040000}"/>
    <cellStyle name="Heading 1 2 16" xfId="1189" xr:uid="{00000000-0005-0000-0000-0000A4040000}"/>
    <cellStyle name="Heading 1 2 17" xfId="1190" xr:uid="{00000000-0005-0000-0000-0000A5040000}"/>
    <cellStyle name="Heading 1 2 18" xfId="1191" xr:uid="{00000000-0005-0000-0000-0000A6040000}"/>
    <cellStyle name="Heading 1 2 19" xfId="1192" xr:uid="{00000000-0005-0000-0000-0000A7040000}"/>
    <cellStyle name="Heading 1 2 2" xfId="1193" xr:uid="{00000000-0005-0000-0000-0000A8040000}"/>
    <cellStyle name="Heading 1 2 20" xfId="1194" xr:uid="{00000000-0005-0000-0000-0000A9040000}"/>
    <cellStyle name="Heading 1 2 21" xfId="1195" xr:uid="{00000000-0005-0000-0000-0000AA040000}"/>
    <cellStyle name="Heading 1 2 22" xfId="1196" xr:uid="{00000000-0005-0000-0000-0000AB040000}"/>
    <cellStyle name="Heading 1 2 23" xfId="1197" xr:uid="{00000000-0005-0000-0000-0000AC040000}"/>
    <cellStyle name="Heading 1 2 24" xfId="1198" xr:uid="{00000000-0005-0000-0000-0000AD040000}"/>
    <cellStyle name="Heading 1 2 25" xfId="1199" xr:uid="{00000000-0005-0000-0000-0000AE040000}"/>
    <cellStyle name="Heading 1 2 26" xfId="1200" xr:uid="{00000000-0005-0000-0000-0000AF040000}"/>
    <cellStyle name="Heading 1 2 27" xfId="1201" xr:uid="{00000000-0005-0000-0000-0000B0040000}"/>
    <cellStyle name="Heading 1 2 28" xfId="1202" xr:uid="{00000000-0005-0000-0000-0000B1040000}"/>
    <cellStyle name="Heading 1 2 29" xfId="1203" xr:uid="{00000000-0005-0000-0000-0000B2040000}"/>
    <cellStyle name="Heading 1 2 3" xfId="1204" xr:uid="{00000000-0005-0000-0000-0000B3040000}"/>
    <cellStyle name="Heading 1 2 30" xfId="1205" xr:uid="{00000000-0005-0000-0000-0000B4040000}"/>
    <cellStyle name="Heading 1 2 31" xfId="1206" xr:uid="{00000000-0005-0000-0000-0000B5040000}"/>
    <cellStyle name="Heading 1 2 32" xfId="1207" xr:uid="{00000000-0005-0000-0000-0000B6040000}"/>
    <cellStyle name="Heading 1 2 33" xfId="1208" xr:uid="{00000000-0005-0000-0000-0000B7040000}"/>
    <cellStyle name="Heading 1 2 34" xfId="1209" xr:uid="{00000000-0005-0000-0000-0000B8040000}"/>
    <cellStyle name="Heading 1 2 35" xfId="1210" xr:uid="{00000000-0005-0000-0000-0000B9040000}"/>
    <cellStyle name="Heading 1 2 36" xfId="1211" xr:uid="{00000000-0005-0000-0000-0000BA040000}"/>
    <cellStyle name="Heading 1 2 37" xfId="1212" xr:uid="{00000000-0005-0000-0000-0000BB040000}"/>
    <cellStyle name="Heading 1 2 38" xfId="1213" xr:uid="{00000000-0005-0000-0000-0000BC040000}"/>
    <cellStyle name="Heading 1 2 39" xfId="1214" xr:uid="{00000000-0005-0000-0000-0000BD040000}"/>
    <cellStyle name="Heading 1 2 4" xfId="1215" xr:uid="{00000000-0005-0000-0000-0000BE040000}"/>
    <cellStyle name="Heading 1 2 40" xfId="1216" xr:uid="{00000000-0005-0000-0000-0000BF040000}"/>
    <cellStyle name="Heading 1 2 41" xfId="1217" xr:uid="{00000000-0005-0000-0000-0000C0040000}"/>
    <cellStyle name="Heading 1 2 42" xfId="1218" xr:uid="{00000000-0005-0000-0000-0000C1040000}"/>
    <cellStyle name="Heading 1 2 43" xfId="1219" xr:uid="{00000000-0005-0000-0000-0000C2040000}"/>
    <cellStyle name="Heading 1 2 44" xfId="1220" xr:uid="{00000000-0005-0000-0000-0000C3040000}"/>
    <cellStyle name="Heading 1 2 45" xfId="1221" xr:uid="{00000000-0005-0000-0000-0000C4040000}"/>
    <cellStyle name="Heading 1 2 46" xfId="1222" xr:uid="{00000000-0005-0000-0000-0000C5040000}"/>
    <cellStyle name="Heading 1 2 47" xfId="1223" xr:uid="{00000000-0005-0000-0000-0000C6040000}"/>
    <cellStyle name="Heading 1 2 48" xfId="1224" xr:uid="{00000000-0005-0000-0000-0000C7040000}"/>
    <cellStyle name="Heading 1 2 49" xfId="1225" xr:uid="{00000000-0005-0000-0000-0000C8040000}"/>
    <cellStyle name="Heading 1 2 49 2" xfId="1226" xr:uid="{00000000-0005-0000-0000-0000C9040000}"/>
    <cellStyle name="Heading 1 2 5" xfId="1227" xr:uid="{00000000-0005-0000-0000-0000CA040000}"/>
    <cellStyle name="Heading 1 2 50" xfId="1228" xr:uid="{00000000-0005-0000-0000-0000CB040000}"/>
    <cellStyle name="Heading 1 2 50 2" xfId="1229" xr:uid="{00000000-0005-0000-0000-0000CC040000}"/>
    <cellStyle name="Heading 1 2 6" xfId="1230" xr:uid="{00000000-0005-0000-0000-0000CD040000}"/>
    <cellStyle name="Heading 1 2 7" xfId="1231" xr:uid="{00000000-0005-0000-0000-0000CE040000}"/>
    <cellStyle name="Heading 1 2 8" xfId="1232" xr:uid="{00000000-0005-0000-0000-0000CF040000}"/>
    <cellStyle name="Heading 1 2 9" xfId="1233" xr:uid="{00000000-0005-0000-0000-0000D0040000}"/>
    <cellStyle name="Heading 2 2" xfId="1234" xr:uid="{00000000-0005-0000-0000-0000D1040000}"/>
    <cellStyle name="Heading 2 2 10" xfId="1235" xr:uid="{00000000-0005-0000-0000-0000D2040000}"/>
    <cellStyle name="Heading 2 2 11" xfId="1236" xr:uid="{00000000-0005-0000-0000-0000D3040000}"/>
    <cellStyle name="Heading 2 2 12" xfId="1237" xr:uid="{00000000-0005-0000-0000-0000D4040000}"/>
    <cellStyle name="Heading 2 2 13" xfId="1238" xr:uid="{00000000-0005-0000-0000-0000D5040000}"/>
    <cellStyle name="Heading 2 2 14" xfId="1239" xr:uid="{00000000-0005-0000-0000-0000D6040000}"/>
    <cellStyle name="Heading 2 2 15" xfId="1240" xr:uid="{00000000-0005-0000-0000-0000D7040000}"/>
    <cellStyle name="Heading 2 2 16" xfId="1241" xr:uid="{00000000-0005-0000-0000-0000D8040000}"/>
    <cellStyle name="Heading 2 2 17" xfId="1242" xr:uid="{00000000-0005-0000-0000-0000D9040000}"/>
    <cellStyle name="Heading 2 2 18" xfId="1243" xr:uid="{00000000-0005-0000-0000-0000DA040000}"/>
    <cellStyle name="Heading 2 2 19" xfId="1244" xr:uid="{00000000-0005-0000-0000-0000DB040000}"/>
    <cellStyle name="Heading 2 2 2" xfId="1245" xr:uid="{00000000-0005-0000-0000-0000DC040000}"/>
    <cellStyle name="Heading 2 2 20" xfId="1246" xr:uid="{00000000-0005-0000-0000-0000DD040000}"/>
    <cellStyle name="Heading 2 2 21" xfId="1247" xr:uid="{00000000-0005-0000-0000-0000DE040000}"/>
    <cellStyle name="Heading 2 2 22" xfId="1248" xr:uid="{00000000-0005-0000-0000-0000DF040000}"/>
    <cellStyle name="Heading 2 2 23" xfId="1249" xr:uid="{00000000-0005-0000-0000-0000E0040000}"/>
    <cellStyle name="Heading 2 2 24" xfId="1250" xr:uid="{00000000-0005-0000-0000-0000E1040000}"/>
    <cellStyle name="Heading 2 2 25" xfId="1251" xr:uid="{00000000-0005-0000-0000-0000E2040000}"/>
    <cellStyle name="Heading 2 2 26" xfId="1252" xr:uid="{00000000-0005-0000-0000-0000E3040000}"/>
    <cellStyle name="Heading 2 2 27" xfId="1253" xr:uid="{00000000-0005-0000-0000-0000E4040000}"/>
    <cellStyle name="Heading 2 2 28" xfId="1254" xr:uid="{00000000-0005-0000-0000-0000E5040000}"/>
    <cellStyle name="Heading 2 2 29" xfId="1255" xr:uid="{00000000-0005-0000-0000-0000E6040000}"/>
    <cellStyle name="Heading 2 2 3" xfId="1256" xr:uid="{00000000-0005-0000-0000-0000E7040000}"/>
    <cellStyle name="Heading 2 2 30" xfId="1257" xr:uid="{00000000-0005-0000-0000-0000E8040000}"/>
    <cellStyle name="Heading 2 2 31" xfId="1258" xr:uid="{00000000-0005-0000-0000-0000E9040000}"/>
    <cellStyle name="Heading 2 2 32" xfId="1259" xr:uid="{00000000-0005-0000-0000-0000EA040000}"/>
    <cellStyle name="Heading 2 2 33" xfId="1260" xr:uid="{00000000-0005-0000-0000-0000EB040000}"/>
    <cellStyle name="Heading 2 2 34" xfId="1261" xr:uid="{00000000-0005-0000-0000-0000EC040000}"/>
    <cellStyle name="Heading 2 2 35" xfId="1262" xr:uid="{00000000-0005-0000-0000-0000ED040000}"/>
    <cellStyle name="Heading 2 2 36" xfId="1263" xr:uid="{00000000-0005-0000-0000-0000EE040000}"/>
    <cellStyle name="Heading 2 2 37" xfId="1264" xr:uid="{00000000-0005-0000-0000-0000EF040000}"/>
    <cellStyle name="Heading 2 2 38" xfId="1265" xr:uid="{00000000-0005-0000-0000-0000F0040000}"/>
    <cellStyle name="Heading 2 2 39" xfId="1266" xr:uid="{00000000-0005-0000-0000-0000F1040000}"/>
    <cellStyle name="Heading 2 2 4" xfId="1267" xr:uid="{00000000-0005-0000-0000-0000F2040000}"/>
    <cellStyle name="Heading 2 2 40" xfId="1268" xr:uid="{00000000-0005-0000-0000-0000F3040000}"/>
    <cellStyle name="Heading 2 2 41" xfId="1269" xr:uid="{00000000-0005-0000-0000-0000F4040000}"/>
    <cellStyle name="Heading 2 2 42" xfId="1270" xr:uid="{00000000-0005-0000-0000-0000F5040000}"/>
    <cellStyle name="Heading 2 2 43" xfId="1271" xr:uid="{00000000-0005-0000-0000-0000F6040000}"/>
    <cellStyle name="Heading 2 2 44" xfId="1272" xr:uid="{00000000-0005-0000-0000-0000F7040000}"/>
    <cellStyle name="Heading 2 2 45" xfId="1273" xr:uid="{00000000-0005-0000-0000-0000F8040000}"/>
    <cellStyle name="Heading 2 2 46" xfId="1274" xr:uid="{00000000-0005-0000-0000-0000F9040000}"/>
    <cellStyle name="Heading 2 2 47" xfId="1275" xr:uid="{00000000-0005-0000-0000-0000FA040000}"/>
    <cellStyle name="Heading 2 2 48" xfId="1276" xr:uid="{00000000-0005-0000-0000-0000FB040000}"/>
    <cellStyle name="Heading 2 2 49" xfId="1277" xr:uid="{00000000-0005-0000-0000-0000FC040000}"/>
    <cellStyle name="Heading 2 2 49 2" xfId="1278" xr:uid="{00000000-0005-0000-0000-0000FD040000}"/>
    <cellStyle name="Heading 2 2 5" xfId="1279" xr:uid="{00000000-0005-0000-0000-0000FE040000}"/>
    <cellStyle name="Heading 2 2 50" xfId="1280" xr:uid="{00000000-0005-0000-0000-0000FF040000}"/>
    <cellStyle name="Heading 2 2 50 2" xfId="1281" xr:uid="{00000000-0005-0000-0000-000000050000}"/>
    <cellStyle name="Heading 2 2 6" xfId="1282" xr:uid="{00000000-0005-0000-0000-000001050000}"/>
    <cellStyle name="Heading 2 2 7" xfId="1283" xr:uid="{00000000-0005-0000-0000-000002050000}"/>
    <cellStyle name="Heading 2 2 8" xfId="1284" xr:uid="{00000000-0005-0000-0000-000003050000}"/>
    <cellStyle name="Heading 2 2 9" xfId="1285" xr:uid="{00000000-0005-0000-0000-000004050000}"/>
    <cellStyle name="Heading 3 2" xfId="1286" xr:uid="{00000000-0005-0000-0000-000005050000}"/>
    <cellStyle name="Heading 3 2 10" xfId="1287" xr:uid="{00000000-0005-0000-0000-000006050000}"/>
    <cellStyle name="Heading 3 2 11" xfId="1288" xr:uid="{00000000-0005-0000-0000-000007050000}"/>
    <cellStyle name="Heading 3 2 12" xfId="1289" xr:uid="{00000000-0005-0000-0000-000008050000}"/>
    <cellStyle name="Heading 3 2 13" xfId="1290" xr:uid="{00000000-0005-0000-0000-000009050000}"/>
    <cellStyle name="Heading 3 2 14" xfId="1291" xr:uid="{00000000-0005-0000-0000-00000A050000}"/>
    <cellStyle name="Heading 3 2 15" xfId="1292" xr:uid="{00000000-0005-0000-0000-00000B050000}"/>
    <cellStyle name="Heading 3 2 16" xfId="1293" xr:uid="{00000000-0005-0000-0000-00000C050000}"/>
    <cellStyle name="Heading 3 2 17" xfId="1294" xr:uid="{00000000-0005-0000-0000-00000D050000}"/>
    <cellStyle name="Heading 3 2 18" xfId="1295" xr:uid="{00000000-0005-0000-0000-00000E050000}"/>
    <cellStyle name="Heading 3 2 19" xfId="1296" xr:uid="{00000000-0005-0000-0000-00000F050000}"/>
    <cellStyle name="Heading 3 2 2" xfId="1297" xr:uid="{00000000-0005-0000-0000-000010050000}"/>
    <cellStyle name="Heading 3 2 20" xfId="1298" xr:uid="{00000000-0005-0000-0000-000011050000}"/>
    <cellStyle name="Heading 3 2 21" xfId="1299" xr:uid="{00000000-0005-0000-0000-000012050000}"/>
    <cellStyle name="Heading 3 2 22" xfId="1300" xr:uid="{00000000-0005-0000-0000-000013050000}"/>
    <cellStyle name="Heading 3 2 23" xfId="1301" xr:uid="{00000000-0005-0000-0000-000014050000}"/>
    <cellStyle name="Heading 3 2 24" xfId="1302" xr:uid="{00000000-0005-0000-0000-000015050000}"/>
    <cellStyle name="Heading 3 2 25" xfId="1303" xr:uid="{00000000-0005-0000-0000-000016050000}"/>
    <cellStyle name="Heading 3 2 26" xfId="1304" xr:uid="{00000000-0005-0000-0000-000017050000}"/>
    <cellStyle name="Heading 3 2 27" xfId="1305" xr:uid="{00000000-0005-0000-0000-000018050000}"/>
    <cellStyle name="Heading 3 2 28" xfId="1306" xr:uid="{00000000-0005-0000-0000-000019050000}"/>
    <cellStyle name="Heading 3 2 29" xfId="1307" xr:uid="{00000000-0005-0000-0000-00001A050000}"/>
    <cellStyle name="Heading 3 2 3" xfId="1308" xr:uid="{00000000-0005-0000-0000-00001B050000}"/>
    <cellStyle name="Heading 3 2 30" xfId="1309" xr:uid="{00000000-0005-0000-0000-00001C050000}"/>
    <cellStyle name="Heading 3 2 31" xfId="1310" xr:uid="{00000000-0005-0000-0000-00001D050000}"/>
    <cellStyle name="Heading 3 2 32" xfId="1311" xr:uid="{00000000-0005-0000-0000-00001E050000}"/>
    <cellStyle name="Heading 3 2 33" xfId="1312" xr:uid="{00000000-0005-0000-0000-00001F050000}"/>
    <cellStyle name="Heading 3 2 34" xfId="1313" xr:uid="{00000000-0005-0000-0000-000020050000}"/>
    <cellStyle name="Heading 3 2 35" xfId="1314" xr:uid="{00000000-0005-0000-0000-000021050000}"/>
    <cellStyle name="Heading 3 2 36" xfId="1315" xr:uid="{00000000-0005-0000-0000-000022050000}"/>
    <cellStyle name="Heading 3 2 37" xfId="1316" xr:uid="{00000000-0005-0000-0000-000023050000}"/>
    <cellStyle name="Heading 3 2 38" xfId="1317" xr:uid="{00000000-0005-0000-0000-000024050000}"/>
    <cellStyle name="Heading 3 2 39" xfId="1318" xr:uid="{00000000-0005-0000-0000-000025050000}"/>
    <cellStyle name="Heading 3 2 4" xfId="1319" xr:uid="{00000000-0005-0000-0000-000026050000}"/>
    <cellStyle name="Heading 3 2 40" xfId="1320" xr:uid="{00000000-0005-0000-0000-000027050000}"/>
    <cellStyle name="Heading 3 2 41" xfId="1321" xr:uid="{00000000-0005-0000-0000-000028050000}"/>
    <cellStyle name="Heading 3 2 42" xfId="1322" xr:uid="{00000000-0005-0000-0000-000029050000}"/>
    <cellStyle name="Heading 3 2 43" xfId="1323" xr:uid="{00000000-0005-0000-0000-00002A050000}"/>
    <cellStyle name="Heading 3 2 44" xfId="1324" xr:uid="{00000000-0005-0000-0000-00002B050000}"/>
    <cellStyle name="Heading 3 2 45" xfId="1325" xr:uid="{00000000-0005-0000-0000-00002C050000}"/>
    <cellStyle name="Heading 3 2 46" xfId="1326" xr:uid="{00000000-0005-0000-0000-00002D050000}"/>
    <cellStyle name="Heading 3 2 47" xfId="1327" xr:uid="{00000000-0005-0000-0000-00002E050000}"/>
    <cellStyle name="Heading 3 2 48" xfId="1328" xr:uid="{00000000-0005-0000-0000-00002F050000}"/>
    <cellStyle name="Heading 3 2 49" xfId="1329" xr:uid="{00000000-0005-0000-0000-000030050000}"/>
    <cellStyle name="Heading 3 2 49 2" xfId="1330" xr:uid="{00000000-0005-0000-0000-000031050000}"/>
    <cellStyle name="Heading 3 2 5" xfId="1331" xr:uid="{00000000-0005-0000-0000-000032050000}"/>
    <cellStyle name="Heading 3 2 50" xfId="1332" xr:uid="{00000000-0005-0000-0000-000033050000}"/>
    <cellStyle name="Heading 3 2 50 2" xfId="1333" xr:uid="{00000000-0005-0000-0000-000034050000}"/>
    <cellStyle name="Heading 3 2 6" xfId="1334" xr:uid="{00000000-0005-0000-0000-000035050000}"/>
    <cellStyle name="Heading 3 2 7" xfId="1335" xr:uid="{00000000-0005-0000-0000-000036050000}"/>
    <cellStyle name="Heading 3 2 8" xfId="1336" xr:uid="{00000000-0005-0000-0000-000037050000}"/>
    <cellStyle name="Heading 3 2 9" xfId="1337" xr:uid="{00000000-0005-0000-0000-000038050000}"/>
    <cellStyle name="Heading 4 2" xfId="1338" xr:uid="{00000000-0005-0000-0000-000039050000}"/>
    <cellStyle name="Heading 4 2 10" xfId="1339" xr:uid="{00000000-0005-0000-0000-00003A050000}"/>
    <cellStyle name="Heading 4 2 11" xfId="1340" xr:uid="{00000000-0005-0000-0000-00003B050000}"/>
    <cellStyle name="Heading 4 2 12" xfId="1341" xr:uid="{00000000-0005-0000-0000-00003C050000}"/>
    <cellStyle name="Heading 4 2 13" xfId="1342" xr:uid="{00000000-0005-0000-0000-00003D050000}"/>
    <cellStyle name="Heading 4 2 14" xfId="1343" xr:uid="{00000000-0005-0000-0000-00003E050000}"/>
    <cellStyle name="Heading 4 2 15" xfId="1344" xr:uid="{00000000-0005-0000-0000-00003F050000}"/>
    <cellStyle name="Heading 4 2 16" xfId="1345" xr:uid="{00000000-0005-0000-0000-000040050000}"/>
    <cellStyle name="Heading 4 2 17" xfId="1346" xr:uid="{00000000-0005-0000-0000-000041050000}"/>
    <cellStyle name="Heading 4 2 18" xfId="1347" xr:uid="{00000000-0005-0000-0000-000042050000}"/>
    <cellStyle name="Heading 4 2 19" xfId="1348" xr:uid="{00000000-0005-0000-0000-000043050000}"/>
    <cellStyle name="Heading 4 2 2" xfId="1349" xr:uid="{00000000-0005-0000-0000-000044050000}"/>
    <cellStyle name="Heading 4 2 20" xfId="1350" xr:uid="{00000000-0005-0000-0000-000045050000}"/>
    <cellStyle name="Heading 4 2 21" xfId="1351" xr:uid="{00000000-0005-0000-0000-000046050000}"/>
    <cellStyle name="Heading 4 2 22" xfId="1352" xr:uid="{00000000-0005-0000-0000-000047050000}"/>
    <cellStyle name="Heading 4 2 23" xfId="1353" xr:uid="{00000000-0005-0000-0000-000048050000}"/>
    <cellStyle name="Heading 4 2 24" xfId="1354" xr:uid="{00000000-0005-0000-0000-000049050000}"/>
    <cellStyle name="Heading 4 2 25" xfId="1355" xr:uid="{00000000-0005-0000-0000-00004A050000}"/>
    <cellStyle name="Heading 4 2 26" xfId="1356" xr:uid="{00000000-0005-0000-0000-00004B050000}"/>
    <cellStyle name="Heading 4 2 27" xfId="1357" xr:uid="{00000000-0005-0000-0000-00004C050000}"/>
    <cellStyle name="Heading 4 2 28" xfId="1358" xr:uid="{00000000-0005-0000-0000-00004D050000}"/>
    <cellStyle name="Heading 4 2 29" xfId="1359" xr:uid="{00000000-0005-0000-0000-00004E050000}"/>
    <cellStyle name="Heading 4 2 3" xfId="1360" xr:uid="{00000000-0005-0000-0000-00004F050000}"/>
    <cellStyle name="Heading 4 2 30" xfId="1361" xr:uid="{00000000-0005-0000-0000-000050050000}"/>
    <cellStyle name="Heading 4 2 31" xfId="1362" xr:uid="{00000000-0005-0000-0000-000051050000}"/>
    <cellStyle name="Heading 4 2 32" xfId="1363" xr:uid="{00000000-0005-0000-0000-000052050000}"/>
    <cellStyle name="Heading 4 2 33" xfId="1364" xr:uid="{00000000-0005-0000-0000-000053050000}"/>
    <cellStyle name="Heading 4 2 34" xfId="1365" xr:uid="{00000000-0005-0000-0000-000054050000}"/>
    <cellStyle name="Heading 4 2 35" xfId="1366" xr:uid="{00000000-0005-0000-0000-000055050000}"/>
    <cellStyle name="Heading 4 2 36" xfId="1367" xr:uid="{00000000-0005-0000-0000-000056050000}"/>
    <cellStyle name="Heading 4 2 37" xfId="1368" xr:uid="{00000000-0005-0000-0000-000057050000}"/>
    <cellStyle name="Heading 4 2 38" xfId="1369" xr:uid="{00000000-0005-0000-0000-000058050000}"/>
    <cellStyle name="Heading 4 2 39" xfId="1370" xr:uid="{00000000-0005-0000-0000-000059050000}"/>
    <cellStyle name="Heading 4 2 4" xfId="1371" xr:uid="{00000000-0005-0000-0000-00005A050000}"/>
    <cellStyle name="Heading 4 2 40" xfId="1372" xr:uid="{00000000-0005-0000-0000-00005B050000}"/>
    <cellStyle name="Heading 4 2 41" xfId="1373" xr:uid="{00000000-0005-0000-0000-00005C050000}"/>
    <cellStyle name="Heading 4 2 42" xfId="1374" xr:uid="{00000000-0005-0000-0000-00005D050000}"/>
    <cellStyle name="Heading 4 2 43" xfId="1375" xr:uid="{00000000-0005-0000-0000-00005E050000}"/>
    <cellStyle name="Heading 4 2 44" xfId="1376" xr:uid="{00000000-0005-0000-0000-00005F050000}"/>
    <cellStyle name="Heading 4 2 45" xfId="1377" xr:uid="{00000000-0005-0000-0000-000060050000}"/>
    <cellStyle name="Heading 4 2 46" xfId="1378" xr:uid="{00000000-0005-0000-0000-000061050000}"/>
    <cellStyle name="Heading 4 2 47" xfId="1379" xr:uid="{00000000-0005-0000-0000-000062050000}"/>
    <cellStyle name="Heading 4 2 48" xfId="1380" xr:uid="{00000000-0005-0000-0000-000063050000}"/>
    <cellStyle name="Heading 4 2 49" xfId="1381" xr:uid="{00000000-0005-0000-0000-000064050000}"/>
    <cellStyle name="Heading 4 2 49 2" xfId="1382" xr:uid="{00000000-0005-0000-0000-000065050000}"/>
    <cellStyle name="Heading 4 2 5" xfId="1383" xr:uid="{00000000-0005-0000-0000-000066050000}"/>
    <cellStyle name="Heading 4 2 50" xfId="1384" xr:uid="{00000000-0005-0000-0000-000067050000}"/>
    <cellStyle name="Heading 4 2 50 2" xfId="1385" xr:uid="{00000000-0005-0000-0000-000068050000}"/>
    <cellStyle name="Heading 4 2 6" xfId="1386" xr:uid="{00000000-0005-0000-0000-000069050000}"/>
    <cellStyle name="Heading 4 2 7" xfId="1387" xr:uid="{00000000-0005-0000-0000-00006A050000}"/>
    <cellStyle name="Heading 4 2 8" xfId="1388" xr:uid="{00000000-0005-0000-0000-00006B050000}"/>
    <cellStyle name="Heading 4 2 9" xfId="1389" xr:uid="{00000000-0005-0000-0000-00006C050000}"/>
    <cellStyle name="Input 2" xfId="1390" xr:uid="{00000000-0005-0000-0000-00006D050000}"/>
    <cellStyle name="Input 2 10" xfId="1391" xr:uid="{00000000-0005-0000-0000-00006E050000}"/>
    <cellStyle name="Input 2 11" xfId="1392" xr:uid="{00000000-0005-0000-0000-00006F050000}"/>
    <cellStyle name="Input 2 12" xfId="1393" xr:uid="{00000000-0005-0000-0000-000070050000}"/>
    <cellStyle name="Input 2 13" xfId="1394" xr:uid="{00000000-0005-0000-0000-000071050000}"/>
    <cellStyle name="Input 2 14" xfId="1395" xr:uid="{00000000-0005-0000-0000-000072050000}"/>
    <cellStyle name="Input 2 15" xfId="1396" xr:uid="{00000000-0005-0000-0000-000073050000}"/>
    <cellStyle name="Input 2 16" xfId="1397" xr:uid="{00000000-0005-0000-0000-000074050000}"/>
    <cellStyle name="Input 2 17" xfId="1398" xr:uid="{00000000-0005-0000-0000-000075050000}"/>
    <cellStyle name="Input 2 18" xfId="1399" xr:uid="{00000000-0005-0000-0000-000076050000}"/>
    <cellStyle name="Input 2 19" xfId="1400" xr:uid="{00000000-0005-0000-0000-000077050000}"/>
    <cellStyle name="Input 2 2" xfId="1401" xr:uid="{00000000-0005-0000-0000-000078050000}"/>
    <cellStyle name="Input 2 20" xfId="1402" xr:uid="{00000000-0005-0000-0000-000079050000}"/>
    <cellStyle name="Input 2 21" xfId="1403" xr:uid="{00000000-0005-0000-0000-00007A050000}"/>
    <cellStyle name="Input 2 22" xfId="1404" xr:uid="{00000000-0005-0000-0000-00007B050000}"/>
    <cellStyle name="Input 2 23" xfId="1405" xr:uid="{00000000-0005-0000-0000-00007C050000}"/>
    <cellStyle name="Input 2 24" xfId="1406" xr:uid="{00000000-0005-0000-0000-00007D050000}"/>
    <cellStyle name="Input 2 25" xfId="1407" xr:uid="{00000000-0005-0000-0000-00007E050000}"/>
    <cellStyle name="Input 2 26" xfId="1408" xr:uid="{00000000-0005-0000-0000-00007F050000}"/>
    <cellStyle name="Input 2 27" xfId="1409" xr:uid="{00000000-0005-0000-0000-000080050000}"/>
    <cellStyle name="Input 2 28" xfId="1410" xr:uid="{00000000-0005-0000-0000-000081050000}"/>
    <cellStyle name="Input 2 29" xfId="1411" xr:uid="{00000000-0005-0000-0000-000082050000}"/>
    <cellStyle name="Input 2 3" xfId="1412" xr:uid="{00000000-0005-0000-0000-000083050000}"/>
    <cellStyle name="Input 2 30" xfId="1413" xr:uid="{00000000-0005-0000-0000-000084050000}"/>
    <cellStyle name="Input 2 31" xfId="1414" xr:uid="{00000000-0005-0000-0000-000085050000}"/>
    <cellStyle name="Input 2 32" xfId="1415" xr:uid="{00000000-0005-0000-0000-000086050000}"/>
    <cellStyle name="Input 2 33" xfId="1416" xr:uid="{00000000-0005-0000-0000-000087050000}"/>
    <cellStyle name="Input 2 34" xfId="1417" xr:uid="{00000000-0005-0000-0000-000088050000}"/>
    <cellStyle name="Input 2 35" xfId="1418" xr:uid="{00000000-0005-0000-0000-000089050000}"/>
    <cellStyle name="Input 2 36" xfId="1419" xr:uid="{00000000-0005-0000-0000-00008A050000}"/>
    <cellStyle name="Input 2 37" xfId="1420" xr:uid="{00000000-0005-0000-0000-00008B050000}"/>
    <cellStyle name="Input 2 38" xfId="1421" xr:uid="{00000000-0005-0000-0000-00008C050000}"/>
    <cellStyle name="Input 2 39" xfId="1422" xr:uid="{00000000-0005-0000-0000-00008D050000}"/>
    <cellStyle name="Input 2 4" xfId="1423" xr:uid="{00000000-0005-0000-0000-00008E050000}"/>
    <cellStyle name="Input 2 40" xfId="1424" xr:uid="{00000000-0005-0000-0000-00008F050000}"/>
    <cellStyle name="Input 2 41" xfId="1425" xr:uid="{00000000-0005-0000-0000-000090050000}"/>
    <cellStyle name="Input 2 42" xfId="1426" xr:uid="{00000000-0005-0000-0000-000091050000}"/>
    <cellStyle name="Input 2 43" xfId="1427" xr:uid="{00000000-0005-0000-0000-000092050000}"/>
    <cellStyle name="Input 2 44" xfId="1428" xr:uid="{00000000-0005-0000-0000-000093050000}"/>
    <cellStyle name="Input 2 45" xfId="1429" xr:uid="{00000000-0005-0000-0000-000094050000}"/>
    <cellStyle name="Input 2 46" xfId="1430" xr:uid="{00000000-0005-0000-0000-000095050000}"/>
    <cellStyle name="Input 2 47" xfId="1431" xr:uid="{00000000-0005-0000-0000-000096050000}"/>
    <cellStyle name="Input 2 48" xfId="1432" xr:uid="{00000000-0005-0000-0000-000097050000}"/>
    <cellStyle name="Input 2 49" xfId="1433" xr:uid="{00000000-0005-0000-0000-000098050000}"/>
    <cellStyle name="Input 2 5" xfId="1434" xr:uid="{00000000-0005-0000-0000-000099050000}"/>
    <cellStyle name="Input 2 6" xfId="1435" xr:uid="{00000000-0005-0000-0000-00009A050000}"/>
    <cellStyle name="Input 2 7" xfId="1436" xr:uid="{00000000-0005-0000-0000-00009B050000}"/>
    <cellStyle name="Input 2 8" xfId="1437" xr:uid="{00000000-0005-0000-0000-00009C050000}"/>
    <cellStyle name="Input 2 9" xfId="1438" xr:uid="{00000000-0005-0000-0000-00009D050000}"/>
    <cellStyle name="Linked Cell 2" xfId="1439" xr:uid="{00000000-0005-0000-0000-00009E050000}"/>
    <cellStyle name="Linked Cell 2 10" xfId="1440" xr:uid="{00000000-0005-0000-0000-00009F050000}"/>
    <cellStyle name="Linked Cell 2 11" xfId="1441" xr:uid="{00000000-0005-0000-0000-0000A0050000}"/>
    <cellStyle name="Linked Cell 2 12" xfId="1442" xr:uid="{00000000-0005-0000-0000-0000A1050000}"/>
    <cellStyle name="Linked Cell 2 13" xfId="1443" xr:uid="{00000000-0005-0000-0000-0000A2050000}"/>
    <cellStyle name="Linked Cell 2 14" xfId="1444" xr:uid="{00000000-0005-0000-0000-0000A3050000}"/>
    <cellStyle name="Linked Cell 2 15" xfId="1445" xr:uid="{00000000-0005-0000-0000-0000A4050000}"/>
    <cellStyle name="Linked Cell 2 16" xfId="1446" xr:uid="{00000000-0005-0000-0000-0000A5050000}"/>
    <cellStyle name="Linked Cell 2 17" xfId="1447" xr:uid="{00000000-0005-0000-0000-0000A6050000}"/>
    <cellStyle name="Linked Cell 2 18" xfId="1448" xr:uid="{00000000-0005-0000-0000-0000A7050000}"/>
    <cellStyle name="Linked Cell 2 19" xfId="1449" xr:uid="{00000000-0005-0000-0000-0000A8050000}"/>
    <cellStyle name="Linked Cell 2 2" xfId="1450" xr:uid="{00000000-0005-0000-0000-0000A9050000}"/>
    <cellStyle name="Linked Cell 2 20" xfId="1451" xr:uid="{00000000-0005-0000-0000-0000AA050000}"/>
    <cellStyle name="Linked Cell 2 21" xfId="1452" xr:uid="{00000000-0005-0000-0000-0000AB050000}"/>
    <cellStyle name="Linked Cell 2 22" xfId="1453" xr:uid="{00000000-0005-0000-0000-0000AC050000}"/>
    <cellStyle name="Linked Cell 2 23" xfId="1454" xr:uid="{00000000-0005-0000-0000-0000AD050000}"/>
    <cellStyle name="Linked Cell 2 24" xfId="1455" xr:uid="{00000000-0005-0000-0000-0000AE050000}"/>
    <cellStyle name="Linked Cell 2 25" xfId="1456" xr:uid="{00000000-0005-0000-0000-0000AF050000}"/>
    <cellStyle name="Linked Cell 2 26" xfId="1457" xr:uid="{00000000-0005-0000-0000-0000B0050000}"/>
    <cellStyle name="Linked Cell 2 27" xfId="1458" xr:uid="{00000000-0005-0000-0000-0000B1050000}"/>
    <cellStyle name="Linked Cell 2 28" xfId="1459" xr:uid="{00000000-0005-0000-0000-0000B2050000}"/>
    <cellStyle name="Linked Cell 2 29" xfId="1460" xr:uid="{00000000-0005-0000-0000-0000B3050000}"/>
    <cellStyle name="Linked Cell 2 3" xfId="1461" xr:uid="{00000000-0005-0000-0000-0000B4050000}"/>
    <cellStyle name="Linked Cell 2 30" xfId="1462" xr:uid="{00000000-0005-0000-0000-0000B5050000}"/>
    <cellStyle name="Linked Cell 2 31" xfId="1463" xr:uid="{00000000-0005-0000-0000-0000B6050000}"/>
    <cellStyle name="Linked Cell 2 32" xfId="1464" xr:uid="{00000000-0005-0000-0000-0000B7050000}"/>
    <cellStyle name="Linked Cell 2 33" xfId="1465" xr:uid="{00000000-0005-0000-0000-0000B8050000}"/>
    <cellStyle name="Linked Cell 2 34" xfId="1466" xr:uid="{00000000-0005-0000-0000-0000B9050000}"/>
    <cellStyle name="Linked Cell 2 35" xfId="1467" xr:uid="{00000000-0005-0000-0000-0000BA050000}"/>
    <cellStyle name="Linked Cell 2 36" xfId="1468" xr:uid="{00000000-0005-0000-0000-0000BB050000}"/>
    <cellStyle name="Linked Cell 2 37" xfId="1469" xr:uid="{00000000-0005-0000-0000-0000BC050000}"/>
    <cellStyle name="Linked Cell 2 38" xfId="1470" xr:uid="{00000000-0005-0000-0000-0000BD050000}"/>
    <cellStyle name="Linked Cell 2 39" xfId="1471" xr:uid="{00000000-0005-0000-0000-0000BE050000}"/>
    <cellStyle name="Linked Cell 2 4" xfId="1472" xr:uid="{00000000-0005-0000-0000-0000BF050000}"/>
    <cellStyle name="Linked Cell 2 40" xfId="1473" xr:uid="{00000000-0005-0000-0000-0000C0050000}"/>
    <cellStyle name="Linked Cell 2 41" xfId="1474" xr:uid="{00000000-0005-0000-0000-0000C1050000}"/>
    <cellStyle name="Linked Cell 2 42" xfId="1475" xr:uid="{00000000-0005-0000-0000-0000C2050000}"/>
    <cellStyle name="Linked Cell 2 43" xfId="1476" xr:uid="{00000000-0005-0000-0000-0000C3050000}"/>
    <cellStyle name="Linked Cell 2 44" xfId="1477" xr:uid="{00000000-0005-0000-0000-0000C4050000}"/>
    <cellStyle name="Linked Cell 2 45" xfId="1478" xr:uid="{00000000-0005-0000-0000-0000C5050000}"/>
    <cellStyle name="Linked Cell 2 46" xfId="1479" xr:uid="{00000000-0005-0000-0000-0000C6050000}"/>
    <cellStyle name="Linked Cell 2 47" xfId="1480" xr:uid="{00000000-0005-0000-0000-0000C7050000}"/>
    <cellStyle name="Linked Cell 2 48" xfId="1481" xr:uid="{00000000-0005-0000-0000-0000C8050000}"/>
    <cellStyle name="Linked Cell 2 49" xfId="1482" xr:uid="{00000000-0005-0000-0000-0000C9050000}"/>
    <cellStyle name="Linked Cell 2 49 2" xfId="1483" xr:uid="{00000000-0005-0000-0000-0000CA050000}"/>
    <cellStyle name="Linked Cell 2 5" xfId="1484" xr:uid="{00000000-0005-0000-0000-0000CB050000}"/>
    <cellStyle name="Linked Cell 2 50" xfId="1485" xr:uid="{00000000-0005-0000-0000-0000CC050000}"/>
    <cellStyle name="Linked Cell 2 50 2" xfId="1486" xr:uid="{00000000-0005-0000-0000-0000CD050000}"/>
    <cellStyle name="Linked Cell 2 6" xfId="1487" xr:uid="{00000000-0005-0000-0000-0000CE050000}"/>
    <cellStyle name="Linked Cell 2 7" xfId="1488" xr:uid="{00000000-0005-0000-0000-0000CF050000}"/>
    <cellStyle name="Linked Cell 2 8" xfId="1489" xr:uid="{00000000-0005-0000-0000-0000D0050000}"/>
    <cellStyle name="Linked Cell 2 9" xfId="1490" xr:uid="{00000000-0005-0000-0000-0000D1050000}"/>
    <cellStyle name="Neutral 2" xfId="1491" xr:uid="{00000000-0005-0000-0000-0000D2050000}"/>
    <cellStyle name="Neutral 2 10" xfId="1492" xr:uid="{00000000-0005-0000-0000-0000D3050000}"/>
    <cellStyle name="Neutral 2 11" xfId="1493" xr:uid="{00000000-0005-0000-0000-0000D4050000}"/>
    <cellStyle name="Neutral 2 12" xfId="1494" xr:uid="{00000000-0005-0000-0000-0000D5050000}"/>
    <cellStyle name="Neutral 2 13" xfId="1495" xr:uid="{00000000-0005-0000-0000-0000D6050000}"/>
    <cellStyle name="Neutral 2 14" xfId="1496" xr:uid="{00000000-0005-0000-0000-0000D7050000}"/>
    <cellStyle name="Neutral 2 15" xfId="1497" xr:uid="{00000000-0005-0000-0000-0000D8050000}"/>
    <cellStyle name="Neutral 2 16" xfId="1498" xr:uid="{00000000-0005-0000-0000-0000D9050000}"/>
    <cellStyle name="Neutral 2 17" xfId="1499" xr:uid="{00000000-0005-0000-0000-0000DA050000}"/>
    <cellStyle name="Neutral 2 18" xfId="1500" xr:uid="{00000000-0005-0000-0000-0000DB050000}"/>
    <cellStyle name="Neutral 2 19" xfId="1501" xr:uid="{00000000-0005-0000-0000-0000DC050000}"/>
    <cellStyle name="Neutral 2 2" xfId="1502" xr:uid="{00000000-0005-0000-0000-0000DD050000}"/>
    <cellStyle name="Neutral 2 20" xfId="1503" xr:uid="{00000000-0005-0000-0000-0000DE050000}"/>
    <cellStyle name="Neutral 2 21" xfId="1504" xr:uid="{00000000-0005-0000-0000-0000DF050000}"/>
    <cellStyle name="Neutral 2 22" xfId="1505" xr:uid="{00000000-0005-0000-0000-0000E0050000}"/>
    <cellStyle name="Neutral 2 23" xfId="1506" xr:uid="{00000000-0005-0000-0000-0000E1050000}"/>
    <cellStyle name="Neutral 2 24" xfId="1507" xr:uid="{00000000-0005-0000-0000-0000E2050000}"/>
    <cellStyle name="Neutral 2 25" xfId="1508" xr:uid="{00000000-0005-0000-0000-0000E3050000}"/>
    <cellStyle name="Neutral 2 26" xfId="1509" xr:uid="{00000000-0005-0000-0000-0000E4050000}"/>
    <cellStyle name="Neutral 2 27" xfId="1510" xr:uid="{00000000-0005-0000-0000-0000E5050000}"/>
    <cellStyle name="Neutral 2 28" xfId="1511" xr:uid="{00000000-0005-0000-0000-0000E6050000}"/>
    <cellStyle name="Neutral 2 29" xfId="1512" xr:uid="{00000000-0005-0000-0000-0000E7050000}"/>
    <cellStyle name="Neutral 2 3" xfId="1513" xr:uid="{00000000-0005-0000-0000-0000E8050000}"/>
    <cellStyle name="Neutral 2 30" xfId="1514" xr:uid="{00000000-0005-0000-0000-0000E9050000}"/>
    <cellStyle name="Neutral 2 31" xfId="1515" xr:uid="{00000000-0005-0000-0000-0000EA050000}"/>
    <cellStyle name="Neutral 2 32" xfId="1516" xr:uid="{00000000-0005-0000-0000-0000EB050000}"/>
    <cellStyle name="Neutral 2 33" xfId="1517" xr:uid="{00000000-0005-0000-0000-0000EC050000}"/>
    <cellStyle name="Neutral 2 34" xfId="1518" xr:uid="{00000000-0005-0000-0000-0000ED050000}"/>
    <cellStyle name="Neutral 2 35" xfId="1519" xr:uid="{00000000-0005-0000-0000-0000EE050000}"/>
    <cellStyle name="Neutral 2 36" xfId="1520" xr:uid="{00000000-0005-0000-0000-0000EF050000}"/>
    <cellStyle name="Neutral 2 37" xfId="1521" xr:uid="{00000000-0005-0000-0000-0000F0050000}"/>
    <cellStyle name="Neutral 2 38" xfId="1522" xr:uid="{00000000-0005-0000-0000-0000F1050000}"/>
    <cellStyle name="Neutral 2 39" xfId="1523" xr:uid="{00000000-0005-0000-0000-0000F2050000}"/>
    <cellStyle name="Neutral 2 4" xfId="1524" xr:uid="{00000000-0005-0000-0000-0000F3050000}"/>
    <cellStyle name="Neutral 2 40" xfId="1525" xr:uid="{00000000-0005-0000-0000-0000F4050000}"/>
    <cellStyle name="Neutral 2 41" xfId="1526" xr:uid="{00000000-0005-0000-0000-0000F5050000}"/>
    <cellStyle name="Neutral 2 42" xfId="1527" xr:uid="{00000000-0005-0000-0000-0000F6050000}"/>
    <cellStyle name="Neutral 2 43" xfId="1528" xr:uid="{00000000-0005-0000-0000-0000F7050000}"/>
    <cellStyle name="Neutral 2 44" xfId="1529" xr:uid="{00000000-0005-0000-0000-0000F8050000}"/>
    <cellStyle name="Neutral 2 45" xfId="1530" xr:uid="{00000000-0005-0000-0000-0000F9050000}"/>
    <cellStyle name="Neutral 2 46" xfId="1531" xr:uid="{00000000-0005-0000-0000-0000FA050000}"/>
    <cellStyle name="Neutral 2 47" xfId="1532" xr:uid="{00000000-0005-0000-0000-0000FB050000}"/>
    <cellStyle name="Neutral 2 48" xfId="1533" xr:uid="{00000000-0005-0000-0000-0000FC050000}"/>
    <cellStyle name="Neutral 2 49" xfId="1534" xr:uid="{00000000-0005-0000-0000-0000FD050000}"/>
    <cellStyle name="Neutral 2 5" xfId="1535" xr:uid="{00000000-0005-0000-0000-0000FE050000}"/>
    <cellStyle name="Neutral 2 6" xfId="1536" xr:uid="{00000000-0005-0000-0000-0000FF050000}"/>
    <cellStyle name="Neutral 2 7" xfId="1537" xr:uid="{00000000-0005-0000-0000-000000060000}"/>
    <cellStyle name="Neutral 2 8" xfId="1538" xr:uid="{00000000-0005-0000-0000-000001060000}"/>
    <cellStyle name="Neutral 2 9" xfId="1539" xr:uid="{00000000-0005-0000-0000-000002060000}"/>
    <cellStyle name="Normal" xfId="0" builtinId="0"/>
    <cellStyle name="Normal 10" xfId="1540" xr:uid="{00000000-0005-0000-0000-000004060000}"/>
    <cellStyle name="Normal 10 2" xfId="1541" xr:uid="{00000000-0005-0000-0000-000005060000}"/>
    <cellStyle name="Normal 10 2 2" xfId="2488" xr:uid="{ECC76E61-C630-4B9B-82A4-758A8A96B0D5}"/>
    <cellStyle name="Normal 10 3" xfId="2487" xr:uid="{B0134602-E365-471B-8A00-38EC24F73698}"/>
    <cellStyle name="Normal 100" xfId="1542" xr:uid="{00000000-0005-0000-0000-000006060000}"/>
    <cellStyle name="Normal 100 2" xfId="1543" xr:uid="{00000000-0005-0000-0000-000007060000}"/>
    <cellStyle name="Normal 100 2 2" xfId="2490" xr:uid="{55A98019-AA2B-4304-9C8E-818F6A3DADBF}"/>
    <cellStyle name="Normal 100 3" xfId="2489" xr:uid="{039A6755-E1CB-43F4-B620-0CB7BCF0F3D5}"/>
    <cellStyle name="Normal 101" xfId="1544" xr:uid="{00000000-0005-0000-0000-000008060000}"/>
    <cellStyle name="Normal 101 2" xfId="1545" xr:uid="{00000000-0005-0000-0000-000009060000}"/>
    <cellStyle name="Normal 101 2 2" xfId="2492" xr:uid="{93A67C37-5816-4987-B738-A1B900267EDA}"/>
    <cellStyle name="Normal 101 3" xfId="2491" xr:uid="{65B31E26-A2C9-4477-8226-EDF36EACC134}"/>
    <cellStyle name="Normal 102" xfId="1546" xr:uid="{00000000-0005-0000-0000-00000A060000}"/>
    <cellStyle name="Normal 102 2" xfId="1547" xr:uid="{00000000-0005-0000-0000-00000B060000}"/>
    <cellStyle name="Normal 102 2 2" xfId="2494" xr:uid="{E31A4AD0-D0AB-4003-8200-8A3698500C76}"/>
    <cellStyle name="Normal 102 3" xfId="2493" xr:uid="{59C8D94A-93FA-4BA6-991B-688E74571C36}"/>
    <cellStyle name="Normal 103" xfId="1548" xr:uid="{00000000-0005-0000-0000-00000C060000}"/>
    <cellStyle name="Normal 103 2" xfId="1549" xr:uid="{00000000-0005-0000-0000-00000D060000}"/>
    <cellStyle name="Normal 103 2 2" xfId="2496" xr:uid="{6DE54A18-55D5-499E-9C5D-B93848F4D020}"/>
    <cellStyle name="Normal 103 3" xfId="2495" xr:uid="{D5D0AE15-C847-4416-89F2-077018D6D5DA}"/>
    <cellStyle name="Normal 104" xfId="1550" xr:uid="{00000000-0005-0000-0000-00000E060000}"/>
    <cellStyle name="Normal 105" xfId="1551" xr:uid="{00000000-0005-0000-0000-00000F060000}"/>
    <cellStyle name="Normal 105 2" xfId="1552" xr:uid="{00000000-0005-0000-0000-000010060000}"/>
    <cellStyle name="Normal 105 2 2" xfId="2498" xr:uid="{9163747C-ACE1-4ABE-8886-F5946F8E128B}"/>
    <cellStyle name="Normal 105 3" xfId="2497" xr:uid="{0375139C-3B14-40FD-90E7-29E42F4D122C}"/>
    <cellStyle name="Normal 106" xfId="1553" xr:uid="{00000000-0005-0000-0000-000011060000}"/>
    <cellStyle name="Normal 106 2" xfId="1554" xr:uid="{00000000-0005-0000-0000-000012060000}"/>
    <cellStyle name="Normal 106 2 2" xfId="2500" xr:uid="{97BCCA86-03C0-4F4F-91A4-2E706105AB3C}"/>
    <cellStyle name="Normal 106 3" xfId="2499" xr:uid="{E7D770A9-F3AE-4374-84C7-B1E9FB70C52A}"/>
    <cellStyle name="Normal 107" xfId="1555" xr:uid="{00000000-0005-0000-0000-000013060000}"/>
    <cellStyle name="Normal 107 2" xfId="1556" xr:uid="{00000000-0005-0000-0000-000014060000}"/>
    <cellStyle name="Normal 107 2 2" xfId="2502" xr:uid="{2DAF7F49-0E98-4786-ADAF-5FA4625B611B}"/>
    <cellStyle name="Normal 107 3" xfId="2501" xr:uid="{5634BF7E-24E0-4D8B-8D7C-E1B15E605513}"/>
    <cellStyle name="Normal 108" xfId="1557" xr:uid="{00000000-0005-0000-0000-000015060000}"/>
    <cellStyle name="Normal 108 2" xfId="1558" xr:uid="{00000000-0005-0000-0000-000016060000}"/>
    <cellStyle name="Normal 108 2 2" xfId="2504" xr:uid="{A7359C2A-8383-4B53-8B8D-C11060EB80D2}"/>
    <cellStyle name="Normal 108 3" xfId="2503" xr:uid="{AD416752-4C6A-4719-A242-449357018EAA}"/>
    <cellStyle name="Normal 109" xfId="1559" xr:uid="{00000000-0005-0000-0000-000017060000}"/>
    <cellStyle name="Normal 109 2" xfId="1560" xr:uid="{00000000-0005-0000-0000-000018060000}"/>
    <cellStyle name="Normal 109 2 2" xfId="2506" xr:uid="{16C86F94-B961-46AF-8F74-8606138C0AB1}"/>
    <cellStyle name="Normal 109 3" xfId="2505" xr:uid="{6B41A04F-9CF2-47C7-A40A-6F00D0D68E95}"/>
    <cellStyle name="Normal 11" xfId="1561" xr:uid="{00000000-0005-0000-0000-000019060000}"/>
    <cellStyle name="Normal 11 2" xfId="1562" xr:uid="{00000000-0005-0000-0000-00001A060000}"/>
    <cellStyle name="Normal 11 2 2" xfId="2508" xr:uid="{77ED9040-4E0D-4555-8C0A-CEBEED2E8816}"/>
    <cellStyle name="Normal 11 3" xfId="2507" xr:uid="{F13B48A4-6AD4-4C9B-81CC-831542E3A95F}"/>
    <cellStyle name="Normal 110" xfId="1563" xr:uid="{00000000-0005-0000-0000-00001B060000}"/>
    <cellStyle name="Normal 110 2" xfId="1564" xr:uid="{00000000-0005-0000-0000-00001C060000}"/>
    <cellStyle name="Normal 110 2 2" xfId="2510" xr:uid="{3586B84A-9278-4FFE-8F6C-ED064CC16BB6}"/>
    <cellStyle name="Normal 110 3" xfId="2509" xr:uid="{D25A8F98-1693-4F6E-8514-105E2038F1EB}"/>
    <cellStyle name="Normal 111" xfId="1565" xr:uid="{00000000-0005-0000-0000-00001D060000}"/>
    <cellStyle name="Normal 111 2" xfId="1566" xr:uid="{00000000-0005-0000-0000-00001E060000}"/>
    <cellStyle name="Normal 111 2 2" xfId="2512" xr:uid="{5C6C383F-4B7C-4B5C-984F-B41AEBB87D5A}"/>
    <cellStyle name="Normal 111 3" xfId="2511" xr:uid="{DD3C8662-A09B-4CCA-AD39-04E9AD21D239}"/>
    <cellStyle name="Normal 112" xfId="1567" xr:uid="{00000000-0005-0000-0000-00001F060000}"/>
    <cellStyle name="Normal 112 2" xfId="1568" xr:uid="{00000000-0005-0000-0000-000020060000}"/>
    <cellStyle name="Normal 112 2 2" xfId="2514" xr:uid="{F0DD984A-3163-480D-B074-79513B336294}"/>
    <cellStyle name="Normal 112 3" xfId="2513" xr:uid="{99A1D150-3633-467F-ABA6-196DBB235371}"/>
    <cellStyle name="Normal 113" xfId="1569" xr:uid="{00000000-0005-0000-0000-000021060000}"/>
    <cellStyle name="Normal 113 2" xfId="1570" xr:uid="{00000000-0005-0000-0000-000022060000}"/>
    <cellStyle name="Normal 113 2 2" xfId="2516" xr:uid="{648D48AC-CC1F-479D-BC8E-8A6370213CB6}"/>
    <cellStyle name="Normal 113 3" xfId="2515" xr:uid="{7518EDB7-2433-4616-8B26-4F82F10340D5}"/>
    <cellStyle name="Normal 114" xfId="1571" xr:uid="{00000000-0005-0000-0000-000023060000}"/>
    <cellStyle name="Normal 114 2" xfId="1572" xr:uid="{00000000-0005-0000-0000-000024060000}"/>
    <cellStyle name="Normal 114 2 2" xfId="2518" xr:uid="{E998EC34-D902-41D0-85B6-B2DB36BFF0CD}"/>
    <cellStyle name="Normal 114 3" xfId="2517" xr:uid="{D954DDC6-CEE4-4B23-BBF9-2AC7FE0BAC65}"/>
    <cellStyle name="Normal 115" xfId="1573" xr:uid="{00000000-0005-0000-0000-000025060000}"/>
    <cellStyle name="Normal 115 2" xfId="1574" xr:uid="{00000000-0005-0000-0000-000026060000}"/>
    <cellStyle name="Normal 115 2 2" xfId="2520" xr:uid="{9783B738-921A-46DB-AE2D-83B9438E0CBD}"/>
    <cellStyle name="Normal 115 3" xfId="2519" xr:uid="{0A9D78C8-479A-4875-8398-6A21F5C61190}"/>
    <cellStyle name="Normal 116" xfId="1575" xr:uid="{00000000-0005-0000-0000-000027060000}"/>
    <cellStyle name="Normal 116 2" xfId="1576" xr:uid="{00000000-0005-0000-0000-000028060000}"/>
    <cellStyle name="Normal 116 2 2" xfId="2522" xr:uid="{697690AE-7847-438B-B5DA-CFB79EB7DA50}"/>
    <cellStyle name="Normal 116 3" xfId="2521" xr:uid="{D30D820E-6070-4A08-BFB4-1BEA4AB83755}"/>
    <cellStyle name="Normal 117" xfId="1577" xr:uid="{00000000-0005-0000-0000-000029060000}"/>
    <cellStyle name="Normal 117 2" xfId="1578" xr:uid="{00000000-0005-0000-0000-00002A060000}"/>
    <cellStyle name="Normal 117 2 2" xfId="2524" xr:uid="{F41762FF-27BE-4F8D-A8EE-4354FD703C65}"/>
    <cellStyle name="Normal 117 3" xfId="2523" xr:uid="{A8C4B824-47C0-43DF-B3E7-5106A2575DA3}"/>
    <cellStyle name="Normal 118" xfId="1579" xr:uid="{00000000-0005-0000-0000-00002B060000}"/>
    <cellStyle name="Normal 118 2" xfId="1580" xr:uid="{00000000-0005-0000-0000-00002C060000}"/>
    <cellStyle name="Normal 118 2 2" xfId="2526" xr:uid="{3F644F43-8D45-4403-B2D0-D96D0D163079}"/>
    <cellStyle name="Normal 118 3" xfId="2525" xr:uid="{4E46598F-D5FB-4AD2-A186-36B5A533892E}"/>
    <cellStyle name="Normal 119" xfId="1581" xr:uid="{00000000-0005-0000-0000-00002D060000}"/>
    <cellStyle name="Normal 119 2" xfId="2527" xr:uid="{00F9DB10-3642-4527-BF7B-E0DF9BA2CCB9}"/>
    <cellStyle name="Normal 12" xfId="1582" xr:uid="{00000000-0005-0000-0000-00002E060000}"/>
    <cellStyle name="Normal 12 2" xfId="1583" xr:uid="{00000000-0005-0000-0000-00002F060000}"/>
    <cellStyle name="Normal 12 2 2" xfId="2529" xr:uid="{68706E68-11D0-425C-9C25-B1A015FFF8D7}"/>
    <cellStyle name="Normal 12 3" xfId="2528" xr:uid="{C5871ADF-C885-4E8F-86F4-C48A59D49717}"/>
    <cellStyle name="Normal 13" xfId="1584" xr:uid="{00000000-0005-0000-0000-000030060000}"/>
    <cellStyle name="Normal 13 2" xfId="1585" xr:uid="{00000000-0005-0000-0000-000031060000}"/>
    <cellStyle name="Normal 13 2 2" xfId="2531" xr:uid="{F45D788D-3CAC-4886-879E-684CE6BF6A19}"/>
    <cellStyle name="Normal 13 3" xfId="1586" xr:uid="{00000000-0005-0000-0000-000032060000}"/>
    <cellStyle name="Normal 13 3 2" xfId="2532" xr:uid="{C77C836C-0899-4C68-8425-07FE9518C1B8}"/>
    <cellStyle name="Normal 13 4" xfId="2530" xr:uid="{65185981-3582-453A-86B1-D80930AB3FED}"/>
    <cellStyle name="Normal 14" xfId="1587" xr:uid="{00000000-0005-0000-0000-000033060000}"/>
    <cellStyle name="Normal 14 2" xfId="1588" xr:uid="{00000000-0005-0000-0000-000034060000}"/>
    <cellStyle name="Normal 14 2 2" xfId="2534" xr:uid="{1A92B238-2B2B-4129-B03D-6A2D6DA41CA5}"/>
    <cellStyle name="Normal 14 3" xfId="2533" xr:uid="{9199670E-EF76-442E-8DB2-1CE773F93BFF}"/>
    <cellStyle name="Normal 15" xfId="1589" xr:uid="{00000000-0005-0000-0000-000035060000}"/>
    <cellStyle name="Normal 15 2" xfId="1590" xr:uid="{00000000-0005-0000-0000-000036060000}"/>
    <cellStyle name="Normal 15 2 2" xfId="2536" xr:uid="{CE3C9F91-D1D2-48E0-9279-F3E65AB01492}"/>
    <cellStyle name="Normal 15 3" xfId="2535" xr:uid="{947BA787-EB7A-457C-A1FD-4DA494578E17}"/>
    <cellStyle name="Normal 16" xfId="1591" xr:uid="{00000000-0005-0000-0000-000037060000}"/>
    <cellStyle name="Normal 16 2" xfId="1592" xr:uid="{00000000-0005-0000-0000-000038060000}"/>
    <cellStyle name="Normal 16 2 2" xfId="2538" xr:uid="{AD3B585C-905A-4CEB-B580-25F63D70A8CE}"/>
    <cellStyle name="Normal 16 3" xfId="2537" xr:uid="{9BA9E812-82DE-4CC6-B677-314AF72889D7}"/>
    <cellStyle name="Normal 17" xfId="1593" xr:uid="{00000000-0005-0000-0000-000039060000}"/>
    <cellStyle name="Normal 17 2" xfId="1594" xr:uid="{00000000-0005-0000-0000-00003A060000}"/>
    <cellStyle name="Normal 17 2 2" xfId="2540" xr:uid="{3B695895-4124-4E02-9BFB-6EC357447812}"/>
    <cellStyle name="Normal 17 3" xfId="2539" xr:uid="{1F2D08E7-553A-49FC-B5FF-0592B55C1BFF}"/>
    <cellStyle name="Normal 18" xfId="1595" xr:uid="{00000000-0005-0000-0000-00003B060000}"/>
    <cellStyle name="Normal 18 2" xfId="1596" xr:uid="{00000000-0005-0000-0000-00003C060000}"/>
    <cellStyle name="Normal 18 2 2" xfId="2542" xr:uid="{C5DAFB73-03A5-46E3-B7F7-85865CB512FE}"/>
    <cellStyle name="Normal 18 3" xfId="2541" xr:uid="{8FAA030C-A1D0-4F17-BDCE-69B1A16416E8}"/>
    <cellStyle name="Normal 19" xfId="1597" xr:uid="{00000000-0005-0000-0000-00003D060000}"/>
    <cellStyle name="Normal 19 2" xfId="1598" xr:uid="{00000000-0005-0000-0000-00003E060000}"/>
    <cellStyle name="Normal 19 2 2" xfId="2544" xr:uid="{324DE5E2-8524-4EEA-9776-6CA729E5639A}"/>
    <cellStyle name="Normal 19 3" xfId="2543" xr:uid="{F0A602B8-0DB6-4932-A2FE-B2F978E8DFDE}"/>
    <cellStyle name="Normal 2 10" xfId="1599" xr:uid="{00000000-0005-0000-0000-00003F060000}"/>
    <cellStyle name="Normal 2 10 2" xfId="2545" xr:uid="{FDA9E5FB-02E1-401F-8AAC-605A6B1925FB}"/>
    <cellStyle name="Normal 2 11" xfId="1600" xr:uid="{00000000-0005-0000-0000-000040060000}"/>
    <cellStyle name="Normal 2 11 2" xfId="2546" xr:uid="{9C5F5A05-BC08-47E9-85E6-B32BC0B0974D}"/>
    <cellStyle name="Normal 2 12" xfId="1601" xr:uid="{00000000-0005-0000-0000-000041060000}"/>
    <cellStyle name="Normal 2 12 2" xfId="2547" xr:uid="{1F1A4618-E247-4CC1-A390-7322167F0627}"/>
    <cellStyle name="Normal 2 13" xfId="1602" xr:uid="{00000000-0005-0000-0000-000042060000}"/>
    <cellStyle name="Normal 2 13 2" xfId="2548" xr:uid="{31D9D9B6-1CE5-4618-9876-B8C6B0CAC891}"/>
    <cellStyle name="Normal 2 14" xfId="1603" xr:uid="{00000000-0005-0000-0000-000043060000}"/>
    <cellStyle name="Normal 2 14 2" xfId="2549" xr:uid="{1E6FBB07-620E-4001-A112-E5EB011065AC}"/>
    <cellStyle name="Normal 2 15" xfId="1604" xr:uid="{00000000-0005-0000-0000-000044060000}"/>
    <cellStyle name="Normal 2 15 2" xfId="2550" xr:uid="{4A404026-25CE-4113-B344-A6CE1ABF19F1}"/>
    <cellStyle name="Normal 2 16" xfId="1605" xr:uid="{00000000-0005-0000-0000-000045060000}"/>
    <cellStyle name="Normal 2 16 2" xfId="2551" xr:uid="{F2EC8228-99D0-4FFB-B91E-AF0641920455}"/>
    <cellStyle name="Normal 2 17" xfId="1606" xr:uid="{00000000-0005-0000-0000-000046060000}"/>
    <cellStyle name="Normal 2 17 2" xfId="2552" xr:uid="{0EBC2C70-2490-436F-A397-9EF4C168352C}"/>
    <cellStyle name="Normal 2 18" xfId="1607" xr:uid="{00000000-0005-0000-0000-000047060000}"/>
    <cellStyle name="Normal 2 18 2" xfId="2553" xr:uid="{BEABC0D1-9E82-4B3D-8DBE-2EEC1B4B3B94}"/>
    <cellStyle name="Normal 2 19" xfId="1608" xr:uid="{00000000-0005-0000-0000-000048060000}"/>
    <cellStyle name="Normal 2 19 2" xfId="2554" xr:uid="{7EAC8564-0DFA-49CB-8C00-28AE2C5510E9}"/>
    <cellStyle name="Normal 2 2" xfId="1609" xr:uid="{00000000-0005-0000-0000-000049060000}"/>
    <cellStyle name="Normal 2 2 2" xfId="2555" xr:uid="{DF7268E0-C97A-4E8C-A027-FE9E73F3116E}"/>
    <cellStyle name="Normal 2 20" xfId="1610" xr:uid="{00000000-0005-0000-0000-00004A060000}"/>
    <cellStyle name="Normal 2 20 2" xfId="2556" xr:uid="{E7FC9941-4FBA-4EE4-B1C2-4EDF0A4B14AA}"/>
    <cellStyle name="Normal 2 21" xfId="1611" xr:uid="{00000000-0005-0000-0000-00004B060000}"/>
    <cellStyle name="Normal 2 21 2" xfId="2557" xr:uid="{2527652D-0806-4138-9FB4-55DB552041E2}"/>
    <cellStyle name="Normal 2 22" xfId="1612" xr:uid="{00000000-0005-0000-0000-00004C060000}"/>
    <cellStyle name="Normal 2 22 2" xfId="2558" xr:uid="{4DD6CA89-58D7-4B22-A227-39600997842D}"/>
    <cellStyle name="Normal 2 3" xfId="1613" xr:uid="{00000000-0005-0000-0000-00004D060000}"/>
    <cellStyle name="Normal 2 3 2" xfId="2559" xr:uid="{907504EE-39D5-4AE1-B75D-DE776280F64B}"/>
    <cellStyle name="Normal 2 4" xfId="1614" xr:uid="{00000000-0005-0000-0000-00004E060000}"/>
    <cellStyle name="Normal 2 4 2" xfId="2560" xr:uid="{B5AC5C5E-31FA-4366-9C64-4A502680DD37}"/>
    <cellStyle name="Normal 2 5" xfId="1615" xr:uid="{00000000-0005-0000-0000-00004F060000}"/>
    <cellStyle name="Normal 2 5 2" xfId="2561" xr:uid="{0849DE6B-66E0-4E37-81BA-F040342E1D3D}"/>
    <cellStyle name="Normal 2 6" xfId="1616" xr:uid="{00000000-0005-0000-0000-000050060000}"/>
    <cellStyle name="Normal 2 6 2" xfId="2562" xr:uid="{65D90482-935A-4DAB-803B-D61F2799D461}"/>
    <cellStyle name="Normal 2 7" xfId="1617" xr:uid="{00000000-0005-0000-0000-000051060000}"/>
    <cellStyle name="Normal 2 7 2" xfId="2563" xr:uid="{3808B3EC-6B05-4C59-841E-FA029EA98151}"/>
    <cellStyle name="Normal 2 8" xfId="1618" xr:uid="{00000000-0005-0000-0000-000052060000}"/>
    <cellStyle name="Normal 2 8 2" xfId="2564" xr:uid="{4E1A3D90-205B-402B-BECB-B395CF07F0B3}"/>
    <cellStyle name="Normal 2 9" xfId="1619" xr:uid="{00000000-0005-0000-0000-000053060000}"/>
    <cellStyle name="Normal 2 9 2" xfId="2565" xr:uid="{13694ACE-F0CD-482E-90CA-A35E838193E3}"/>
    <cellStyle name="Normal 20" xfId="1620" xr:uid="{00000000-0005-0000-0000-000054060000}"/>
    <cellStyle name="Normal 20 2" xfId="1621" xr:uid="{00000000-0005-0000-0000-000055060000}"/>
    <cellStyle name="Normal 20 2 2" xfId="2567" xr:uid="{102F7DBF-71D7-4246-A0F6-D3E0F846CAB0}"/>
    <cellStyle name="Normal 20 3" xfId="2566" xr:uid="{D28C364C-7F9E-4C60-A25A-026272AD6036}"/>
    <cellStyle name="Normal 21" xfId="1622" xr:uid="{00000000-0005-0000-0000-000056060000}"/>
    <cellStyle name="Normal 21 2" xfId="1623" xr:uid="{00000000-0005-0000-0000-000057060000}"/>
    <cellStyle name="Normal 21 2 2" xfId="2569" xr:uid="{8E3D3FFA-E161-47C7-BD27-3522AC9BAE79}"/>
    <cellStyle name="Normal 21 3" xfId="2568" xr:uid="{FB82DD21-6578-47F3-878C-DB633C457406}"/>
    <cellStyle name="Normal 22" xfId="1624" xr:uid="{00000000-0005-0000-0000-000058060000}"/>
    <cellStyle name="Normal 22 2" xfId="1625" xr:uid="{00000000-0005-0000-0000-000059060000}"/>
    <cellStyle name="Normal 22 2 2" xfId="2571" xr:uid="{C2A61ED1-AB5D-4BAE-87A0-8609F627F9F6}"/>
    <cellStyle name="Normal 22 3" xfId="2570" xr:uid="{03BDC628-7692-4DB6-9D61-360DD4DE4470}"/>
    <cellStyle name="Normal 23" xfId="1626" xr:uid="{00000000-0005-0000-0000-00005A060000}"/>
    <cellStyle name="Normal 23 2" xfId="1627" xr:uid="{00000000-0005-0000-0000-00005B060000}"/>
    <cellStyle name="Normal 23 2 2" xfId="2573" xr:uid="{430EA31C-C1F6-4F26-B9BB-DBB832A97DC6}"/>
    <cellStyle name="Normal 23 3" xfId="2572" xr:uid="{00AF005F-002E-415E-8F17-590A214BB6A4}"/>
    <cellStyle name="Normal 24" xfId="1628" xr:uid="{00000000-0005-0000-0000-00005C060000}"/>
    <cellStyle name="Normal 24 2" xfId="1629" xr:uid="{00000000-0005-0000-0000-00005D060000}"/>
    <cellStyle name="Normal 24 2 2" xfId="2575" xr:uid="{A41E44B7-907F-4F10-A395-7AD9F79B488D}"/>
    <cellStyle name="Normal 24 3" xfId="2574" xr:uid="{70D99912-526E-43D3-A5B0-E2FD45F6CB6F}"/>
    <cellStyle name="Normal 25" xfId="1630" xr:uid="{00000000-0005-0000-0000-00005E060000}"/>
    <cellStyle name="Normal 25 2" xfId="1631" xr:uid="{00000000-0005-0000-0000-00005F060000}"/>
    <cellStyle name="Normal 25 2 2" xfId="2577" xr:uid="{6330358A-24F8-45AA-8B9D-66532FBE9277}"/>
    <cellStyle name="Normal 25 3" xfId="2576" xr:uid="{2A041BE8-E0BC-4B80-A683-00094453FF71}"/>
    <cellStyle name="Normal 26" xfId="1632" xr:uid="{00000000-0005-0000-0000-000060060000}"/>
    <cellStyle name="Normal 26 2" xfId="1633" xr:uid="{00000000-0005-0000-0000-000061060000}"/>
    <cellStyle name="Normal 26 2 2" xfId="2579" xr:uid="{883EC2A2-AD34-4A29-B51D-5DBB48D96060}"/>
    <cellStyle name="Normal 26 3" xfId="2578" xr:uid="{92EF770B-F7A1-488C-9B31-076C156C8493}"/>
    <cellStyle name="Normal 27" xfId="1634" xr:uid="{00000000-0005-0000-0000-000062060000}"/>
    <cellStyle name="Normal 27 2" xfId="1635" xr:uid="{00000000-0005-0000-0000-000063060000}"/>
    <cellStyle name="Normal 27 2 2" xfId="2581" xr:uid="{71BCA383-A59A-46FC-B78D-B03D4FFB5B34}"/>
    <cellStyle name="Normal 27 3" xfId="2580" xr:uid="{F1EFCCAF-117F-46CB-AA27-5BA7DC409D2D}"/>
    <cellStyle name="Normal 28" xfId="1636" xr:uid="{00000000-0005-0000-0000-000064060000}"/>
    <cellStyle name="Normal 28 2" xfId="1637" xr:uid="{00000000-0005-0000-0000-000065060000}"/>
    <cellStyle name="Normal 28 2 2" xfId="2583" xr:uid="{D8E081C0-D68D-47BC-BC11-0D806AFADF3F}"/>
    <cellStyle name="Normal 28 3" xfId="2582" xr:uid="{343D4885-A7FF-45C5-95CD-3965BE76A07C}"/>
    <cellStyle name="Normal 29" xfId="1638" xr:uid="{00000000-0005-0000-0000-000066060000}"/>
    <cellStyle name="Normal 29 2" xfId="1639" xr:uid="{00000000-0005-0000-0000-000067060000}"/>
    <cellStyle name="Normal 29 2 2" xfId="2585" xr:uid="{4C0259FB-1C78-4F43-A5CD-7B94EBF8934C}"/>
    <cellStyle name="Normal 29 3" xfId="2584" xr:uid="{3273D332-C25F-4862-8A25-4F2CFB7BBE89}"/>
    <cellStyle name="Normal 3" xfId="1640" xr:uid="{00000000-0005-0000-0000-000068060000}"/>
    <cellStyle name="Normal 3 2" xfId="1641" xr:uid="{00000000-0005-0000-0000-000069060000}"/>
    <cellStyle name="Normal 3 2 2" xfId="2587" xr:uid="{570E41A9-98CD-4066-8B44-E25EBDF25DF2}"/>
    <cellStyle name="Normal 3 3" xfId="2586" xr:uid="{380722B3-5AA1-45D1-BE57-F9C23F264612}"/>
    <cellStyle name="Normal 30" xfId="1642" xr:uid="{00000000-0005-0000-0000-00006A060000}"/>
    <cellStyle name="Normal 30 2" xfId="1643" xr:uid="{00000000-0005-0000-0000-00006B060000}"/>
    <cellStyle name="Normal 30 2 2" xfId="2589" xr:uid="{16D8F03D-CFE0-45DF-AA44-EFC30EF23D40}"/>
    <cellStyle name="Normal 30 3" xfId="2588" xr:uid="{6E1E9054-A4D8-4D7F-BE87-D0BC139BBC17}"/>
    <cellStyle name="Normal 31" xfId="1644" xr:uid="{00000000-0005-0000-0000-00006C060000}"/>
    <cellStyle name="Normal 31 2" xfId="1645" xr:uid="{00000000-0005-0000-0000-00006D060000}"/>
    <cellStyle name="Normal 31 2 2" xfId="2591" xr:uid="{1140A8D4-0B5E-471A-82C0-EA32F14AC575}"/>
    <cellStyle name="Normal 31 3" xfId="2590" xr:uid="{411B5629-A6E8-4C67-994C-9A72D0961829}"/>
    <cellStyle name="Normal 32" xfId="1646" xr:uid="{00000000-0005-0000-0000-00006E060000}"/>
    <cellStyle name="Normal 32 2" xfId="1647" xr:uid="{00000000-0005-0000-0000-00006F060000}"/>
    <cellStyle name="Normal 32 2 2" xfId="2593" xr:uid="{2CC19B40-F917-42E9-93B9-A943D19810EB}"/>
    <cellStyle name="Normal 32 3" xfId="2592" xr:uid="{1C85D329-9DE5-494E-B3FC-83C5EBAB7F24}"/>
    <cellStyle name="Normal 33" xfId="1648" xr:uid="{00000000-0005-0000-0000-000070060000}"/>
    <cellStyle name="Normal 33 2" xfId="1649" xr:uid="{00000000-0005-0000-0000-000071060000}"/>
    <cellStyle name="Normal 33 2 2" xfId="2595" xr:uid="{F9C7C402-C1F3-44AC-AF4D-8111BEDE1361}"/>
    <cellStyle name="Normal 33 3" xfId="2594" xr:uid="{1DA9EDA2-3A89-4998-A295-DAF39B5481D3}"/>
    <cellStyle name="Normal 34" xfId="1650" xr:uid="{00000000-0005-0000-0000-000072060000}"/>
    <cellStyle name="Normal 34 2" xfId="1651" xr:uid="{00000000-0005-0000-0000-000073060000}"/>
    <cellStyle name="Normal 34 2 2" xfId="2597" xr:uid="{FA911F0D-2427-41EB-AC64-9D86CDFEF85B}"/>
    <cellStyle name="Normal 34 3" xfId="2596" xr:uid="{21E5C477-D297-4603-ADEE-FEA75E062344}"/>
    <cellStyle name="Normal 35" xfId="1652" xr:uid="{00000000-0005-0000-0000-000074060000}"/>
    <cellStyle name="Normal 35 2" xfId="1653" xr:uid="{00000000-0005-0000-0000-000075060000}"/>
    <cellStyle name="Normal 35 2 2" xfId="2599" xr:uid="{A8838301-3C2B-4E51-AE1B-64EA094D5003}"/>
    <cellStyle name="Normal 35 3" xfId="2598" xr:uid="{926E4F38-9A65-431F-AF67-7C68A2F13164}"/>
    <cellStyle name="Normal 36" xfId="1654" xr:uid="{00000000-0005-0000-0000-000076060000}"/>
    <cellStyle name="Normal 36 2" xfId="1655" xr:uid="{00000000-0005-0000-0000-000077060000}"/>
    <cellStyle name="Normal 36 2 2" xfId="2601" xr:uid="{84BFBD3E-CFEA-4B8D-B7FC-9D5D23D31C19}"/>
    <cellStyle name="Normal 36 3" xfId="2600" xr:uid="{F96689FD-27A5-4E27-98A4-A28E431907BA}"/>
    <cellStyle name="Normal 37" xfId="1656" xr:uid="{00000000-0005-0000-0000-000078060000}"/>
    <cellStyle name="Normal 37 2" xfId="1657" xr:uid="{00000000-0005-0000-0000-000079060000}"/>
    <cellStyle name="Normal 37 2 2" xfId="2603" xr:uid="{B8401C8D-178D-49B8-9DFD-6D63F0258EE1}"/>
    <cellStyle name="Normal 37 3" xfId="2602" xr:uid="{2142C8FB-DDE0-4904-A9E5-22F4C83CE0B5}"/>
    <cellStyle name="Normal 38" xfId="1658" xr:uid="{00000000-0005-0000-0000-00007A060000}"/>
    <cellStyle name="Normal 38 2" xfId="1659" xr:uid="{00000000-0005-0000-0000-00007B060000}"/>
    <cellStyle name="Normal 38 2 2" xfId="2605" xr:uid="{509BC1BF-1C52-48B0-A9B2-92CE11D3A957}"/>
    <cellStyle name="Normal 38 3" xfId="2604" xr:uid="{9DBD6E8C-F1BB-4CE1-B3A6-585889CE453F}"/>
    <cellStyle name="Normal 39" xfId="1660" xr:uid="{00000000-0005-0000-0000-00007C060000}"/>
    <cellStyle name="Normal 39 2" xfId="1661" xr:uid="{00000000-0005-0000-0000-00007D060000}"/>
    <cellStyle name="Normal 39 2 2" xfId="2607" xr:uid="{02447B25-C362-47A8-99F1-A617C4F56F9A}"/>
    <cellStyle name="Normal 39 3" xfId="2606" xr:uid="{94568C33-1D40-4EEA-BE97-90DD48BAD772}"/>
    <cellStyle name="Normal 4" xfId="1662" xr:uid="{00000000-0005-0000-0000-00007E060000}"/>
    <cellStyle name="Normal 4 2" xfId="1663" xr:uid="{00000000-0005-0000-0000-00007F060000}"/>
    <cellStyle name="Normal 4 2 2" xfId="2609" xr:uid="{7B347A6D-F986-4BD2-BBC4-C81693B4553C}"/>
    <cellStyle name="Normal 4 3" xfId="2608" xr:uid="{627C3A30-50E0-4033-849E-1546954644B6}"/>
    <cellStyle name="Normal 40" xfId="1664" xr:uid="{00000000-0005-0000-0000-000080060000}"/>
    <cellStyle name="Normal 40 2" xfId="1665" xr:uid="{00000000-0005-0000-0000-000081060000}"/>
    <cellStyle name="Normal 40 2 2" xfId="2611" xr:uid="{55EF4023-5977-462F-A3ED-DEC84BD96DB9}"/>
    <cellStyle name="Normal 40 3" xfId="2610" xr:uid="{A377E851-5F89-4D1C-AF73-96AE59446FEF}"/>
    <cellStyle name="Normal 41" xfId="1666" xr:uid="{00000000-0005-0000-0000-000082060000}"/>
    <cellStyle name="Normal 41 2" xfId="1667" xr:uid="{00000000-0005-0000-0000-000083060000}"/>
    <cellStyle name="Normal 41 2 2" xfId="2613" xr:uid="{4403A23A-9FED-4CF4-A163-903E228F6162}"/>
    <cellStyle name="Normal 41 3" xfId="2612" xr:uid="{0798A5DF-F169-4D4F-9CB6-5E47FD49CBCA}"/>
    <cellStyle name="Normal 42" xfId="1668" xr:uid="{00000000-0005-0000-0000-000084060000}"/>
    <cellStyle name="Normal 42 2" xfId="1669" xr:uid="{00000000-0005-0000-0000-000085060000}"/>
    <cellStyle name="Normal 42 2 2" xfId="2615" xr:uid="{99DF3EFD-58E1-4080-9717-FF9F96A4AE20}"/>
    <cellStyle name="Normal 42 3" xfId="2614" xr:uid="{5B6B9097-6A5E-46F8-9077-807E3FEFC520}"/>
    <cellStyle name="Normal 43" xfId="1670" xr:uid="{00000000-0005-0000-0000-000086060000}"/>
    <cellStyle name="Normal 43 2" xfId="1671" xr:uid="{00000000-0005-0000-0000-000087060000}"/>
    <cellStyle name="Normal 43 2 2" xfId="2617" xr:uid="{F4B3090B-F014-4555-8269-9C03E3297C08}"/>
    <cellStyle name="Normal 43 3" xfId="2616" xr:uid="{524EADC8-AD47-4EF5-A0E7-7EA951E673A5}"/>
    <cellStyle name="Normal 44" xfId="1672" xr:uid="{00000000-0005-0000-0000-000088060000}"/>
    <cellStyle name="Normal 44 2" xfId="1673" xr:uid="{00000000-0005-0000-0000-000089060000}"/>
    <cellStyle name="Normal 44 2 2" xfId="2619" xr:uid="{8580084C-55D4-4C32-80B2-3AFD347086EC}"/>
    <cellStyle name="Normal 44 3" xfId="2618" xr:uid="{AB3B2DCA-9603-4D74-A756-6E0145C5401B}"/>
    <cellStyle name="Normal 45" xfId="1674" xr:uid="{00000000-0005-0000-0000-00008A060000}"/>
    <cellStyle name="Normal 45 2" xfId="1675" xr:uid="{00000000-0005-0000-0000-00008B060000}"/>
    <cellStyle name="Normal 45 2 2" xfId="2621" xr:uid="{F1DABFDD-3AD3-4264-9BC9-B20EEAF512D5}"/>
    <cellStyle name="Normal 45 3" xfId="2620" xr:uid="{D028F735-8938-4A60-BC05-FCE8C5E90377}"/>
    <cellStyle name="Normal 46" xfId="1676" xr:uid="{00000000-0005-0000-0000-00008C060000}"/>
    <cellStyle name="Normal 46 2" xfId="1677" xr:uid="{00000000-0005-0000-0000-00008D060000}"/>
    <cellStyle name="Normal 46 2 2" xfId="2623" xr:uid="{F2D95344-DEED-4948-9DCD-818C99AA9817}"/>
    <cellStyle name="Normal 46 3" xfId="2622" xr:uid="{AFDFA613-A9DE-4407-A38A-8141904D1537}"/>
    <cellStyle name="Normal 47" xfId="1678" xr:uid="{00000000-0005-0000-0000-00008E060000}"/>
    <cellStyle name="Normal 47 2" xfId="1679" xr:uid="{00000000-0005-0000-0000-00008F060000}"/>
    <cellStyle name="Normal 47 2 2" xfId="2625" xr:uid="{E2C504E9-5BD9-45D8-BF21-2CDFA5948801}"/>
    <cellStyle name="Normal 47 3" xfId="2624" xr:uid="{C2A7A953-BCA7-43CC-B70D-5F05A22ACFC5}"/>
    <cellStyle name="Normal 48" xfId="1680" xr:uid="{00000000-0005-0000-0000-000090060000}"/>
    <cellStyle name="Normal 48 2" xfId="1681" xr:uid="{00000000-0005-0000-0000-000091060000}"/>
    <cellStyle name="Normal 48 2 2" xfId="2627" xr:uid="{B25E39EE-AB67-4797-93C6-115F666585C6}"/>
    <cellStyle name="Normal 48 3" xfId="2626" xr:uid="{D70B63BA-4ED4-4B1C-A48A-0CBD28A066DD}"/>
    <cellStyle name="Normal 49" xfId="1682" xr:uid="{00000000-0005-0000-0000-000092060000}"/>
    <cellStyle name="Normal 49 2" xfId="1683" xr:uid="{00000000-0005-0000-0000-000093060000}"/>
    <cellStyle name="Normal 49 2 2" xfId="2629" xr:uid="{5E592AA1-99E3-4A44-91C3-157C374F0DF8}"/>
    <cellStyle name="Normal 49 3" xfId="2628" xr:uid="{5DDA8385-540C-4B03-8A1D-60F5C54B4653}"/>
    <cellStyle name="Normal 5" xfId="1684" xr:uid="{00000000-0005-0000-0000-000094060000}"/>
    <cellStyle name="Normal 5 2" xfId="1685" xr:uid="{00000000-0005-0000-0000-000095060000}"/>
    <cellStyle name="Normal 5 2 2" xfId="2631" xr:uid="{AB3D4C43-7A87-4004-9399-A19FB983ABCE}"/>
    <cellStyle name="Normal 5 3" xfId="2630" xr:uid="{4DEFC8E1-A1A0-4F8C-B4D3-E247B22F8107}"/>
    <cellStyle name="Normal 50" xfId="1686" xr:uid="{00000000-0005-0000-0000-000096060000}"/>
    <cellStyle name="Normal 50 2" xfId="1687" xr:uid="{00000000-0005-0000-0000-000097060000}"/>
    <cellStyle name="Normal 50 2 2" xfId="2633" xr:uid="{7BC0C22C-6D32-49D3-BF7E-35946F8EA67A}"/>
    <cellStyle name="Normal 50 3" xfId="2632" xr:uid="{8B938C8C-E964-4A9D-BB31-2A0FFAFF4FA3}"/>
    <cellStyle name="Normal 51" xfId="1688" xr:uid="{00000000-0005-0000-0000-000098060000}"/>
    <cellStyle name="Normal 51 2" xfId="1689" xr:uid="{00000000-0005-0000-0000-000099060000}"/>
    <cellStyle name="Normal 51 2 2" xfId="2635" xr:uid="{8D371D5F-6C56-4035-8294-B9AD8E1CD549}"/>
    <cellStyle name="Normal 51 3" xfId="2634" xr:uid="{0460B2B6-0E37-4594-B89A-1957D3C2A4C6}"/>
    <cellStyle name="Normal 52" xfId="1690" xr:uid="{00000000-0005-0000-0000-00009A060000}"/>
    <cellStyle name="Normal 52 2" xfId="1691" xr:uid="{00000000-0005-0000-0000-00009B060000}"/>
    <cellStyle name="Normal 52 2 2" xfId="2637" xr:uid="{B8952F73-F43E-4DBF-ABAE-125171B46CBF}"/>
    <cellStyle name="Normal 52 3" xfId="2636" xr:uid="{3C452A6B-FC7B-4031-9701-B64237F0D9E7}"/>
    <cellStyle name="Normal 53" xfId="1692" xr:uid="{00000000-0005-0000-0000-00009C060000}"/>
    <cellStyle name="Normal 53 2" xfId="1693" xr:uid="{00000000-0005-0000-0000-00009D060000}"/>
    <cellStyle name="Normal 53 2 2" xfId="2639" xr:uid="{7578783A-67B5-4554-B5D1-AE4FA73CEE14}"/>
    <cellStyle name="Normal 53 3" xfId="2638" xr:uid="{1E772CB4-5E33-4623-B078-ADCDEF3C950B}"/>
    <cellStyle name="Normal 54" xfId="1694" xr:uid="{00000000-0005-0000-0000-00009E060000}"/>
    <cellStyle name="Normal 54 2" xfId="1695" xr:uid="{00000000-0005-0000-0000-00009F060000}"/>
    <cellStyle name="Normal 54 2 2" xfId="2641" xr:uid="{FCC4FB7E-B137-4B80-BA47-484488D295A6}"/>
    <cellStyle name="Normal 54 3" xfId="2640" xr:uid="{12C3E472-FC7B-4059-A8FF-0EFA68BCDFE2}"/>
    <cellStyle name="Normal 55" xfId="1696" xr:uid="{00000000-0005-0000-0000-0000A0060000}"/>
    <cellStyle name="Normal 55 2" xfId="1697" xr:uid="{00000000-0005-0000-0000-0000A1060000}"/>
    <cellStyle name="Normal 55 2 2" xfId="2643" xr:uid="{930C4ED3-C5C9-413C-A2C5-63970F315154}"/>
    <cellStyle name="Normal 55 3" xfId="2642" xr:uid="{27BC97FF-59BD-46BD-93AA-38EFCCFFD744}"/>
    <cellStyle name="Normal 56" xfId="1698" xr:uid="{00000000-0005-0000-0000-0000A2060000}"/>
    <cellStyle name="Normal 56 2" xfId="1699" xr:uid="{00000000-0005-0000-0000-0000A3060000}"/>
    <cellStyle name="Normal 56 2 2" xfId="2645" xr:uid="{703B79B9-1421-4A11-97A8-C2824D2FB4A0}"/>
    <cellStyle name="Normal 56 3" xfId="2644" xr:uid="{64ED2268-B325-4703-A671-4AECD2B9AB68}"/>
    <cellStyle name="Normal 57" xfId="1700" xr:uid="{00000000-0005-0000-0000-0000A4060000}"/>
    <cellStyle name="Normal 57 2" xfId="1701" xr:uid="{00000000-0005-0000-0000-0000A5060000}"/>
    <cellStyle name="Normal 57 2 2" xfId="2647" xr:uid="{A04BB96A-FC38-4E33-B412-2394A49BC1B9}"/>
    <cellStyle name="Normal 57 3" xfId="2646" xr:uid="{BEC27366-A7A8-4553-A678-A4B631BC4AF0}"/>
    <cellStyle name="Normal 58" xfId="1702" xr:uid="{00000000-0005-0000-0000-0000A6060000}"/>
    <cellStyle name="Normal 58 2" xfId="1703" xr:uid="{00000000-0005-0000-0000-0000A7060000}"/>
    <cellStyle name="Normal 58 2 2" xfId="2649" xr:uid="{F06640DB-6DDC-4655-ADCE-063086A868DB}"/>
    <cellStyle name="Normal 58 3" xfId="2648" xr:uid="{FB3527A7-F3F4-4A21-AD77-D21C14612086}"/>
    <cellStyle name="Normal 59" xfId="1704" xr:uid="{00000000-0005-0000-0000-0000A8060000}"/>
    <cellStyle name="Normal 59 2" xfId="1705" xr:uid="{00000000-0005-0000-0000-0000A9060000}"/>
    <cellStyle name="Normal 59 2 2" xfId="2651" xr:uid="{BB53FD76-F54C-48BD-BFE4-FACD5BEF2628}"/>
    <cellStyle name="Normal 59 3" xfId="2650" xr:uid="{77F331AD-1120-4EB2-9385-A4CE214DB120}"/>
    <cellStyle name="Normal 6" xfId="1706" xr:uid="{00000000-0005-0000-0000-0000AA060000}"/>
    <cellStyle name="Normal 6 2" xfId="1707" xr:uid="{00000000-0005-0000-0000-0000AB060000}"/>
    <cellStyle name="Normal 6 2 2" xfId="2653" xr:uid="{C1790CA4-AFD4-4A98-8530-6F340089E6B3}"/>
    <cellStyle name="Normal 6 3" xfId="2652" xr:uid="{6E8EAA57-8793-4F34-85CC-103C5BB8D2A8}"/>
    <cellStyle name="Normal 60" xfId="1708" xr:uid="{00000000-0005-0000-0000-0000AC060000}"/>
    <cellStyle name="Normal 60 2" xfId="1709" xr:uid="{00000000-0005-0000-0000-0000AD060000}"/>
    <cellStyle name="Normal 60 2 2" xfId="2655" xr:uid="{3054DFA0-68C9-4AB5-953F-24C1E7B4C16E}"/>
    <cellStyle name="Normal 60 3" xfId="2654" xr:uid="{78251213-E109-403E-B4BE-C080782268DC}"/>
    <cellStyle name="Normal 61" xfId="1710" xr:uid="{00000000-0005-0000-0000-0000AE060000}"/>
    <cellStyle name="Normal 61 2" xfId="1711" xr:uid="{00000000-0005-0000-0000-0000AF060000}"/>
    <cellStyle name="Normal 61 2 2" xfId="2657" xr:uid="{D96C8DC0-B4D7-474D-9085-DCEBAB6571D0}"/>
    <cellStyle name="Normal 61 3" xfId="2656" xr:uid="{EB5D09FF-8C21-4AF0-A86A-AE0D50E606BC}"/>
    <cellStyle name="Normal 62" xfId="1712" xr:uid="{00000000-0005-0000-0000-0000B0060000}"/>
    <cellStyle name="Normal 62 2" xfId="1713" xr:uid="{00000000-0005-0000-0000-0000B1060000}"/>
    <cellStyle name="Normal 62 2 2" xfId="2659" xr:uid="{E282EE6C-D1E2-45E8-ADB5-4211A3F90D5D}"/>
    <cellStyle name="Normal 62 3" xfId="2658" xr:uid="{00A71FFB-D099-40F4-A1BE-F20FF4550B5C}"/>
    <cellStyle name="Normal 63" xfId="1714" xr:uid="{00000000-0005-0000-0000-0000B2060000}"/>
    <cellStyle name="Normal 63 2" xfId="1715" xr:uid="{00000000-0005-0000-0000-0000B3060000}"/>
    <cellStyle name="Normal 63 2 2" xfId="2661" xr:uid="{30820C8E-C100-41D0-BBFA-A2935893B6B2}"/>
    <cellStyle name="Normal 63 3" xfId="2660" xr:uid="{2FD7CC63-C8DD-4FAA-9FE0-A493133051F3}"/>
    <cellStyle name="Normal 64" xfId="1716" xr:uid="{00000000-0005-0000-0000-0000B4060000}"/>
    <cellStyle name="Normal 64 2" xfId="1717" xr:uid="{00000000-0005-0000-0000-0000B5060000}"/>
    <cellStyle name="Normal 64 2 2" xfId="2663" xr:uid="{D1FB8EF0-9F4A-4C4E-B7DF-759328513FF3}"/>
    <cellStyle name="Normal 64 3" xfId="2662" xr:uid="{3BF67324-22D5-4591-B5F3-1BE2CFF1198E}"/>
    <cellStyle name="Normal 65" xfId="1718" xr:uid="{00000000-0005-0000-0000-0000B6060000}"/>
    <cellStyle name="Normal 65 2" xfId="1719" xr:uid="{00000000-0005-0000-0000-0000B7060000}"/>
    <cellStyle name="Normal 65 2 2" xfId="2665" xr:uid="{DBB066E8-63BC-423E-8849-71E2B6BF96CC}"/>
    <cellStyle name="Normal 65 3" xfId="2664" xr:uid="{D1020272-FEF2-4576-95DF-A8C6E9DA8F49}"/>
    <cellStyle name="Normal 66" xfId="1720" xr:uid="{00000000-0005-0000-0000-0000B8060000}"/>
    <cellStyle name="Normal 66 2" xfId="1721" xr:uid="{00000000-0005-0000-0000-0000B9060000}"/>
    <cellStyle name="Normal 66 2 2" xfId="2667" xr:uid="{21DC36FC-B9F6-4B16-AE44-B648EAD80E0B}"/>
    <cellStyle name="Normal 66 3" xfId="2666" xr:uid="{592F0AB7-0716-4B3D-998B-B552E021659E}"/>
    <cellStyle name="Normal 67" xfId="1722" xr:uid="{00000000-0005-0000-0000-0000BA060000}"/>
    <cellStyle name="Normal 67 2" xfId="1723" xr:uid="{00000000-0005-0000-0000-0000BB060000}"/>
    <cellStyle name="Normal 67 2 2" xfId="2669" xr:uid="{45FC4131-4D85-454E-9061-72E0A122E280}"/>
    <cellStyle name="Normal 67 3" xfId="2668" xr:uid="{8CB15CFC-ADED-4C0C-B52B-208F81AB2508}"/>
    <cellStyle name="Normal 68" xfId="1724" xr:uid="{00000000-0005-0000-0000-0000BC060000}"/>
    <cellStyle name="Normal 68 2" xfId="1725" xr:uid="{00000000-0005-0000-0000-0000BD060000}"/>
    <cellStyle name="Normal 68 2 2" xfId="2671" xr:uid="{8AC88E93-A4E7-49CD-8904-5A51DE5F5937}"/>
    <cellStyle name="Normal 68 3" xfId="2670" xr:uid="{EB63ECB7-01BB-4AA4-8966-45461F97D436}"/>
    <cellStyle name="Normal 69" xfId="1726" xr:uid="{00000000-0005-0000-0000-0000BE060000}"/>
    <cellStyle name="Normal 69 2" xfId="1727" xr:uid="{00000000-0005-0000-0000-0000BF060000}"/>
    <cellStyle name="Normal 69 2 2" xfId="2673" xr:uid="{3183D7DF-3E0C-4774-AA84-CECEFBF60C7A}"/>
    <cellStyle name="Normal 69 3" xfId="2672" xr:uid="{0D9B3EE5-056A-48B6-B2AF-F7396F02F9DC}"/>
    <cellStyle name="Normal 7" xfId="1728" xr:uid="{00000000-0005-0000-0000-0000C0060000}"/>
    <cellStyle name="Normal 7 2" xfId="1729" xr:uid="{00000000-0005-0000-0000-0000C1060000}"/>
    <cellStyle name="Normal 7 2 2" xfId="2675" xr:uid="{5F49F753-80B9-4781-A22A-E5D6A8553423}"/>
    <cellStyle name="Normal 7 3" xfId="2674" xr:uid="{BFBA178C-063C-4112-9A25-5BEFCE278C2F}"/>
    <cellStyle name="Normal 70" xfId="1730" xr:uid="{00000000-0005-0000-0000-0000C2060000}"/>
    <cellStyle name="Normal 70 2" xfId="1731" xr:uid="{00000000-0005-0000-0000-0000C3060000}"/>
    <cellStyle name="Normal 70 2 2" xfId="2677" xr:uid="{FDE38B06-06B1-452D-9A70-0B70A27572EB}"/>
    <cellStyle name="Normal 70 3" xfId="2676" xr:uid="{ACB74F77-8E30-403C-8E30-244EF631DE19}"/>
    <cellStyle name="Normal 71" xfId="1732" xr:uid="{00000000-0005-0000-0000-0000C4060000}"/>
    <cellStyle name="Normal 71 2" xfId="1733" xr:uid="{00000000-0005-0000-0000-0000C5060000}"/>
    <cellStyle name="Normal 71 2 2" xfId="2679" xr:uid="{F153A9FF-160B-4BE0-8E78-AEB7A982F8EB}"/>
    <cellStyle name="Normal 71 3" xfId="2678" xr:uid="{A2E4B34C-680A-4D56-86D1-EADCC9707B8B}"/>
    <cellStyle name="Normal 72" xfId="1734" xr:uid="{00000000-0005-0000-0000-0000C6060000}"/>
    <cellStyle name="Normal 72 2" xfId="1735" xr:uid="{00000000-0005-0000-0000-0000C7060000}"/>
    <cellStyle name="Normal 72 2 2" xfId="2681" xr:uid="{F2D7292F-1FE1-46B1-9FA3-D26DAFC54CB7}"/>
    <cellStyle name="Normal 72 3" xfId="2680" xr:uid="{4E57BEFC-754A-4095-92EC-F53BCB4EDA30}"/>
    <cellStyle name="Normal 73" xfId="1736" xr:uid="{00000000-0005-0000-0000-0000C8060000}"/>
    <cellStyle name="Normal 73 2" xfId="1737" xr:uid="{00000000-0005-0000-0000-0000C9060000}"/>
    <cellStyle name="Normal 73 2 2" xfId="2683" xr:uid="{3F93917E-2039-49F0-9099-60F1B9BE5157}"/>
    <cellStyle name="Normal 73 3" xfId="2682" xr:uid="{3C18742F-AA96-4C10-9DFF-FE3CAB44B061}"/>
    <cellStyle name="Normal 74" xfId="1738" xr:uid="{00000000-0005-0000-0000-0000CA060000}"/>
    <cellStyle name="Normal 74 2" xfId="1739" xr:uid="{00000000-0005-0000-0000-0000CB060000}"/>
    <cellStyle name="Normal 74 2 2" xfId="2685" xr:uid="{355C6951-196D-4B64-94FD-45CB8AB58B32}"/>
    <cellStyle name="Normal 74 3" xfId="2684" xr:uid="{6096E00A-1D71-4F45-BF7D-729A6FB03BF6}"/>
    <cellStyle name="Normal 75" xfId="1740" xr:uid="{00000000-0005-0000-0000-0000CC060000}"/>
    <cellStyle name="Normal 75 2" xfId="1741" xr:uid="{00000000-0005-0000-0000-0000CD060000}"/>
    <cellStyle name="Normal 75 2 2" xfId="2687" xr:uid="{78C0397A-0E53-44A0-8B15-24646B12F933}"/>
    <cellStyle name="Normal 75 3" xfId="2686" xr:uid="{B9ECE6D2-C8BB-4B12-A5EC-C4BDD44AF0E5}"/>
    <cellStyle name="Normal 76" xfId="1742" xr:uid="{00000000-0005-0000-0000-0000CE060000}"/>
    <cellStyle name="Normal 76 2" xfId="1743" xr:uid="{00000000-0005-0000-0000-0000CF060000}"/>
    <cellStyle name="Normal 76 2 2" xfId="2689" xr:uid="{57EE3FED-FADF-450D-BE88-ACEE25A9C426}"/>
    <cellStyle name="Normal 76 3" xfId="2688" xr:uid="{3759B485-3330-410E-970D-8601C24A38B6}"/>
    <cellStyle name="Normal 77" xfId="1744" xr:uid="{00000000-0005-0000-0000-0000D0060000}"/>
    <cellStyle name="Normal 77 2" xfId="1745" xr:uid="{00000000-0005-0000-0000-0000D1060000}"/>
    <cellStyle name="Normal 77 2 2" xfId="2691" xr:uid="{371CC754-6364-4C14-9AD5-F611AE4E87A8}"/>
    <cellStyle name="Normal 77 3" xfId="2690" xr:uid="{37B960A3-DE04-420B-B8BD-93FB371094A3}"/>
    <cellStyle name="Normal 78" xfId="1746" xr:uid="{00000000-0005-0000-0000-0000D2060000}"/>
    <cellStyle name="Normal 78 2" xfId="1747" xr:uid="{00000000-0005-0000-0000-0000D3060000}"/>
    <cellStyle name="Normal 78 2 2" xfId="2693" xr:uid="{06722C44-6C3D-4DAD-B4D0-B96EC1BC0792}"/>
    <cellStyle name="Normal 78 3" xfId="2692" xr:uid="{9B687E4D-E980-4C3E-ABA5-D14786D05CF5}"/>
    <cellStyle name="Normal 79" xfId="1748" xr:uid="{00000000-0005-0000-0000-0000D4060000}"/>
    <cellStyle name="Normal 79 2" xfId="1749" xr:uid="{00000000-0005-0000-0000-0000D5060000}"/>
    <cellStyle name="Normal 79 2 2" xfId="2695" xr:uid="{E728986C-2A44-4F1E-A565-889140A6A4A4}"/>
    <cellStyle name="Normal 79 3" xfId="2694" xr:uid="{CF583539-A2A7-47DA-88C6-447CFDB7AD13}"/>
    <cellStyle name="Normal 8" xfId="1750" xr:uid="{00000000-0005-0000-0000-0000D6060000}"/>
    <cellStyle name="Normal 8 2" xfId="1751" xr:uid="{00000000-0005-0000-0000-0000D7060000}"/>
    <cellStyle name="Normal 8 2 2" xfId="2697" xr:uid="{185ED611-F8EB-4DEC-AC48-72FEB57A7522}"/>
    <cellStyle name="Normal 8 3" xfId="2696" xr:uid="{6B8C09FD-895E-48A2-852F-1CB8FD8C4217}"/>
    <cellStyle name="Normal 80" xfId="1752" xr:uid="{00000000-0005-0000-0000-0000D8060000}"/>
    <cellStyle name="Normal 80 2" xfId="1753" xr:uid="{00000000-0005-0000-0000-0000D9060000}"/>
    <cellStyle name="Normal 80 2 2" xfId="2699" xr:uid="{8B35DEA9-5590-45A3-8AF9-3AC76482BCE4}"/>
    <cellStyle name="Normal 80 3" xfId="2698" xr:uid="{0CF994F3-4769-4B4D-B827-8D1A1E32C42E}"/>
    <cellStyle name="Normal 81" xfId="1754" xr:uid="{00000000-0005-0000-0000-0000DA060000}"/>
    <cellStyle name="Normal 81 2" xfId="1755" xr:uid="{00000000-0005-0000-0000-0000DB060000}"/>
    <cellStyle name="Normal 81 2 2" xfId="2701" xr:uid="{BF4517FF-93B8-456D-B094-79C22028DFCA}"/>
    <cellStyle name="Normal 81 3" xfId="2700" xr:uid="{4FEA4336-4B8D-4EFE-B454-98897C02FFDC}"/>
    <cellStyle name="Normal 82" xfId="1756" xr:uid="{00000000-0005-0000-0000-0000DC060000}"/>
    <cellStyle name="Normal 82 2" xfId="1757" xr:uid="{00000000-0005-0000-0000-0000DD060000}"/>
    <cellStyle name="Normal 82 2 2" xfId="2703" xr:uid="{DE76F842-C961-4A04-8C16-29C3023451C9}"/>
    <cellStyle name="Normal 82 3" xfId="2702" xr:uid="{E855E008-A767-4E77-A818-93D8F2EADDA0}"/>
    <cellStyle name="Normal 83" xfId="1758" xr:uid="{00000000-0005-0000-0000-0000DE060000}"/>
    <cellStyle name="Normal 83 2" xfId="1759" xr:uid="{00000000-0005-0000-0000-0000DF060000}"/>
    <cellStyle name="Normal 83 2 2" xfId="2705" xr:uid="{6E61A1E8-4A36-47FE-8445-443A3087703C}"/>
    <cellStyle name="Normal 83 3" xfId="2704" xr:uid="{A97B91D6-0DE9-47A8-AFE6-00EDCA749638}"/>
    <cellStyle name="Normal 84" xfId="1760" xr:uid="{00000000-0005-0000-0000-0000E0060000}"/>
    <cellStyle name="Normal 84 2" xfId="1761" xr:uid="{00000000-0005-0000-0000-0000E1060000}"/>
    <cellStyle name="Normal 84 2 2" xfId="2707" xr:uid="{BC8FEF76-C518-4F29-A928-7D9689626140}"/>
    <cellStyle name="Normal 84 3" xfId="2706" xr:uid="{D4EE52BD-8A33-46AE-BCD0-82847E81C7CD}"/>
    <cellStyle name="Normal 85" xfId="1762" xr:uid="{00000000-0005-0000-0000-0000E2060000}"/>
    <cellStyle name="Normal 85 2" xfId="1763" xr:uid="{00000000-0005-0000-0000-0000E3060000}"/>
    <cellStyle name="Normal 85 2 2" xfId="2709" xr:uid="{1BDABEC0-890D-4B4E-82C2-C44B588553CF}"/>
    <cellStyle name="Normal 85 3" xfId="2708" xr:uid="{6482C1BD-667E-43F9-87A5-B2DB2056C32C}"/>
    <cellStyle name="Normal 86" xfId="1764" xr:uid="{00000000-0005-0000-0000-0000E4060000}"/>
    <cellStyle name="Normal 86 2" xfId="1765" xr:uid="{00000000-0005-0000-0000-0000E5060000}"/>
    <cellStyle name="Normal 86 2 2" xfId="2711" xr:uid="{4A9B90D4-5648-4A45-821D-D92816ECFBF7}"/>
    <cellStyle name="Normal 86 3" xfId="2710" xr:uid="{4917BE8C-D189-46AF-A8A9-732F4822CC76}"/>
    <cellStyle name="Normal 87" xfId="1766" xr:uid="{00000000-0005-0000-0000-0000E6060000}"/>
    <cellStyle name="Normal 87 2" xfId="1767" xr:uid="{00000000-0005-0000-0000-0000E7060000}"/>
    <cellStyle name="Normal 87 2 2" xfId="2713" xr:uid="{B5E74009-3993-433D-A590-5442671662DE}"/>
    <cellStyle name="Normal 87 3" xfId="2712" xr:uid="{09321369-FF98-4049-9C6F-CB8CE939EFC9}"/>
    <cellStyle name="Normal 88" xfId="1768" xr:uid="{00000000-0005-0000-0000-0000E8060000}"/>
    <cellStyle name="Normal 88 2" xfId="1769" xr:uid="{00000000-0005-0000-0000-0000E9060000}"/>
    <cellStyle name="Normal 88 2 2" xfId="2715" xr:uid="{87A65856-4501-41FC-AD06-F51FF87C147D}"/>
    <cellStyle name="Normal 88 3" xfId="2714" xr:uid="{B61804D8-8BCA-45A6-BD2A-96311A64F1F9}"/>
    <cellStyle name="Normal 89" xfId="1770" xr:uid="{00000000-0005-0000-0000-0000EA060000}"/>
    <cellStyle name="Normal 89 2" xfId="1771" xr:uid="{00000000-0005-0000-0000-0000EB060000}"/>
    <cellStyle name="Normal 89 2 2" xfId="2717" xr:uid="{A207A34F-5550-48E2-BEA2-3BA00A64D3B3}"/>
    <cellStyle name="Normal 89 3" xfId="2716" xr:uid="{1F133C39-1596-460B-9E94-754B070A78C8}"/>
    <cellStyle name="Normal 9" xfId="1772" xr:uid="{00000000-0005-0000-0000-0000EC060000}"/>
    <cellStyle name="Normal 9 2" xfId="1773" xr:uid="{00000000-0005-0000-0000-0000ED060000}"/>
    <cellStyle name="Normal 9 2 2" xfId="2719" xr:uid="{1D53982E-ED3D-4581-B7FD-35B6C57A01F8}"/>
    <cellStyle name="Normal 9 3" xfId="2718" xr:uid="{206530BA-61B7-4DD9-A6AF-4A2791A2A85D}"/>
    <cellStyle name="Normal 90" xfId="1774" xr:uid="{00000000-0005-0000-0000-0000EE060000}"/>
    <cellStyle name="Normal 90 2" xfId="1775" xr:uid="{00000000-0005-0000-0000-0000EF060000}"/>
    <cellStyle name="Normal 90 2 2" xfId="2721" xr:uid="{61903E9D-5363-49EB-B8E4-E892F655129D}"/>
    <cellStyle name="Normal 90 3" xfId="2720" xr:uid="{8C7222A2-A1DD-4548-856F-0CF94A9C572A}"/>
    <cellStyle name="Normal 91" xfId="1776" xr:uid="{00000000-0005-0000-0000-0000F0060000}"/>
    <cellStyle name="Normal 91 2" xfId="1777" xr:uid="{00000000-0005-0000-0000-0000F1060000}"/>
    <cellStyle name="Normal 91 2 2" xfId="2723" xr:uid="{B4566D73-FCAB-465E-86D7-AFF5E95BA4EC}"/>
    <cellStyle name="Normal 91 3" xfId="2722" xr:uid="{28ED6536-E712-43A4-8B44-9D849F4337A4}"/>
    <cellStyle name="Normal 92" xfId="1778" xr:uid="{00000000-0005-0000-0000-0000F2060000}"/>
    <cellStyle name="Normal 92 2" xfId="1779" xr:uid="{00000000-0005-0000-0000-0000F3060000}"/>
    <cellStyle name="Normal 92 2 2" xfId="2725" xr:uid="{6C3ABD98-0048-4E6E-958E-FF6F3354D95A}"/>
    <cellStyle name="Normal 92 3" xfId="2724" xr:uid="{FF6C7116-E2D8-405F-BEDB-544BF3B3CF86}"/>
    <cellStyle name="Normal 93" xfId="1780" xr:uid="{00000000-0005-0000-0000-0000F4060000}"/>
    <cellStyle name="Normal 93 2" xfId="1781" xr:uid="{00000000-0005-0000-0000-0000F5060000}"/>
    <cellStyle name="Normal 93 2 2" xfId="2727" xr:uid="{252BB691-7D16-4B97-B83D-0F132626204D}"/>
    <cellStyle name="Normal 93 3" xfId="2726" xr:uid="{7062F263-0FA6-4359-8F95-D4A256914D17}"/>
    <cellStyle name="Normal 94" xfId="1782" xr:uid="{00000000-0005-0000-0000-0000F6060000}"/>
    <cellStyle name="Normal 94 2" xfId="1783" xr:uid="{00000000-0005-0000-0000-0000F7060000}"/>
    <cellStyle name="Normal 94 2 2" xfId="2729" xr:uid="{551DECD2-23C3-41BF-86E9-999560C31884}"/>
    <cellStyle name="Normal 94 3" xfId="2728" xr:uid="{50A755F3-0F40-4616-8203-088CD21233A1}"/>
    <cellStyle name="Normal 95" xfId="1784" xr:uid="{00000000-0005-0000-0000-0000F8060000}"/>
    <cellStyle name="Normal 95 2" xfId="1785" xr:uid="{00000000-0005-0000-0000-0000F9060000}"/>
    <cellStyle name="Normal 95 2 2" xfId="2731" xr:uid="{A1457755-C749-49A2-B78D-2F880AB15BE6}"/>
    <cellStyle name="Normal 95 3" xfId="2730" xr:uid="{2C9A892A-2EAB-4B6B-9835-AB6DD30CE287}"/>
    <cellStyle name="Normal 96" xfId="1786" xr:uid="{00000000-0005-0000-0000-0000FA060000}"/>
    <cellStyle name="Normal 96 2" xfId="1787" xr:uid="{00000000-0005-0000-0000-0000FB060000}"/>
    <cellStyle name="Normal 96 2 2" xfId="2733" xr:uid="{443DD9A3-255A-421E-883B-3F4CCE4F5E30}"/>
    <cellStyle name="Normal 96 3" xfId="2732" xr:uid="{0C4921BF-3EBC-4966-868E-4C5491E572DF}"/>
    <cellStyle name="Normal 97" xfId="1788" xr:uid="{00000000-0005-0000-0000-0000FC060000}"/>
    <cellStyle name="Normal 97 2" xfId="1789" xr:uid="{00000000-0005-0000-0000-0000FD060000}"/>
    <cellStyle name="Normal 97 2 2" xfId="2735" xr:uid="{ED7FF822-AC96-4D6E-910C-A348C5D6F848}"/>
    <cellStyle name="Normal 97 3" xfId="2734" xr:uid="{D12C59D7-2ECC-4C74-9234-C7AAFA1EA017}"/>
    <cellStyle name="Normal 98" xfId="1790" xr:uid="{00000000-0005-0000-0000-0000FE060000}"/>
    <cellStyle name="Normal 98 2" xfId="1791" xr:uid="{00000000-0005-0000-0000-0000FF060000}"/>
    <cellStyle name="Normal 98 2 2" xfId="2737" xr:uid="{60C8C742-937B-42DA-BB76-A454E552FEA0}"/>
    <cellStyle name="Normal 98 3" xfId="2736" xr:uid="{D24F4D0D-AC6E-41F6-80D8-DF7680B77642}"/>
    <cellStyle name="Normal 99" xfId="1792" xr:uid="{00000000-0005-0000-0000-000000070000}"/>
    <cellStyle name="Normal 99 2" xfId="1793" xr:uid="{00000000-0005-0000-0000-000001070000}"/>
    <cellStyle name="Normal 99 2 2" xfId="2739" xr:uid="{79DD81A6-0392-45FB-9734-8BB30D6AD208}"/>
    <cellStyle name="Normal 99 3" xfId="2738" xr:uid="{BFC843A9-4F00-4B61-8F6F-CB1706EA72EB}"/>
    <cellStyle name="Note 2" xfId="1794" xr:uid="{00000000-0005-0000-0000-000002070000}"/>
    <cellStyle name="Note 2 10" xfId="1795" xr:uid="{00000000-0005-0000-0000-000003070000}"/>
    <cellStyle name="Note 2 11" xfId="1796" xr:uid="{00000000-0005-0000-0000-000004070000}"/>
    <cellStyle name="Note 2 12" xfId="1797" xr:uid="{00000000-0005-0000-0000-000005070000}"/>
    <cellStyle name="Note 2 13" xfId="1798" xr:uid="{00000000-0005-0000-0000-000006070000}"/>
    <cellStyle name="Note 2 14" xfId="1799" xr:uid="{00000000-0005-0000-0000-000007070000}"/>
    <cellStyle name="Note 2 15" xfId="1800" xr:uid="{00000000-0005-0000-0000-000008070000}"/>
    <cellStyle name="Note 2 16" xfId="1801" xr:uid="{00000000-0005-0000-0000-000009070000}"/>
    <cellStyle name="Note 2 17" xfId="1802" xr:uid="{00000000-0005-0000-0000-00000A070000}"/>
    <cellStyle name="Note 2 18" xfId="1803" xr:uid="{00000000-0005-0000-0000-00000B070000}"/>
    <cellStyle name="Note 2 19" xfId="1804" xr:uid="{00000000-0005-0000-0000-00000C070000}"/>
    <cellStyle name="Note 2 2" xfId="1805" xr:uid="{00000000-0005-0000-0000-00000D070000}"/>
    <cellStyle name="Note 2 20" xfId="1806" xr:uid="{00000000-0005-0000-0000-00000E070000}"/>
    <cellStyle name="Note 2 21" xfId="1807" xr:uid="{00000000-0005-0000-0000-00000F070000}"/>
    <cellStyle name="Note 2 22" xfId="1808" xr:uid="{00000000-0005-0000-0000-000010070000}"/>
    <cellStyle name="Note 2 23" xfId="1809" xr:uid="{00000000-0005-0000-0000-000011070000}"/>
    <cellStyle name="Note 2 24" xfId="1810" xr:uid="{00000000-0005-0000-0000-000012070000}"/>
    <cellStyle name="Note 2 25" xfId="1811" xr:uid="{00000000-0005-0000-0000-000013070000}"/>
    <cellStyle name="Note 2 26" xfId="1812" xr:uid="{00000000-0005-0000-0000-000014070000}"/>
    <cellStyle name="Note 2 27" xfId="1813" xr:uid="{00000000-0005-0000-0000-000015070000}"/>
    <cellStyle name="Note 2 28" xfId="1814" xr:uid="{00000000-0005-0000-0000-000016070000}"/>
    <cellStyle name="Note 2 29" xfId="1815" xr:uid="{00000000-0005-0000-0000-000017070000}"/>
    <cellStyle name="Note 2 3" xfId="1816" xr:uid="{00000000-0005-0000-0000-000018070000}"/>
    <cellStyle name="Note 2 30" xfId="1817" xr:uid="{00000000-0005-0000-0000-000019070000}"/>
    <cellStyle name="Note 2 31" xfId="1818" xr:uid="{00000000-0005-0000-0000-00001A070000}"/>
    <cellStyle name="Note 2 32" xfId="1819" xr:uid="{00000000-0005-0000-0000-00001B070000}"/>
    <cellStyle name="Note 2 33" xfId="1820" xr:uid="{00000000-0005-0000-0000-00001C070000}"/>
    <cellStyle name="Note 2 34" xfId="1821" xr:uid="{00000000-0005-0000-0000-00001D070000}"/>
    <cellStyle name="Note 2 35" xfId="1822" xr:uid="{00000000-0005-0000-0000-00001E070000}"/>
    <cellStyle name="Note 2 36" xfId="1823" xr:uid="{00000000-0005-0000-0000-00001F070000}"/>
    <cellStyle name="Note 2 37" xfId="1824" xr:uid="{00000000-0005-0000-0000-000020070000}"/>
    <cellStyle name="Note 2 38" xfId="1825" xr:uid="{00000000-0005-0000-0000-000021070000}"/>
    <cellStyle name="Note 2 39" xfId="1826" xr:uid="{00000000-0005-0000-0000-000022070000}"/>
    <cellStyle name="Note 2 4" xfId="1827" xr:uid="{00000000-0005-0000-0000-000023070000}"/>
    <cellStyle name="Note 2 40" xfId="1828" xr:uid="{00000000-0005-0000-0000-000024070000}"/>
    <cellStyle name="Note 2 41" xfId="1829" xr:uid="{00000000-0005-0000-0000-000025070000}"/>
    <cellStyle name="Note 2 42" xfId="1830" xr:uid="{00000000-0005-0000-0000-000026070000}"/>
    <cellStyle name="Note 2 43" xfId="1831" xr:uid="{00000000-0005-0000-0000-000027070000}"/>
    <cellStyle name="Note 2 44" xfId="1832" xr:uid="{00000000-0005-0000-0000-000028070000}"/>
    <cellStyle name="Note 2 45" xfId="1833" xr:uid="{00000000-0005-0000-0000-000029070000}"/>
    <cellStyle name="Note 2 46" xfId="1834" xr:uid="{00000000-0005-0000-0000-00002A070000}"/>
    <cellStyle name="Note 2 47" xfId="1835" xr:uid="{00000000-0005-0000-0000-00002B070000}"/>
    <cellStyle name="Note 2 48" xfId="1836" xr:uid="{00000000-0005-0000-0000-00002C070000}"/>
    <cellStyle name="Note 2 49" xfId="1837" xr:uid="{00000000-0005-0000-0000-00002D070000}"/>
    <cellStyle name="Note 2 5" xfId="1838" xr:uid="{00000000-0005-0000-0000-00002E070000}"/>
    <cellStyle name="Note 2 6" xfId="1839" xr:uid="{00000000-0005-0000-0000-00002F070000}"/>
    <cellStyle name="Note 2 7" xfId="1840" xr:uid="{00000000-0005-0000-0000-000030070000}"/>
    <cellStyle name="Note 2 8" xfId="1841" xr:uid="{00000000-0005-0000-0000-000031070000}"/>
    <cellStyle name="Note 2 9" xfId="1842" xr:uid="{00000000-0005-0000-0000-000032070000}"/>
    <cellStyle name="Output 2" xfId="1843" xr:uid="{00000000-0005-0000-0000-000033070000}"/>
    <cellStyle name="Output 2 10" xfId="1844" xr:uid="{00000000-0005-0000-0000-000034070000}"/>
    <cellStyle name="Output 2 11" xfId="1845" xr:uid="{00000000-0005-0000-0000-000035070000}"/>
    <cellStyle name="Output 2 12" xfId="1846" xr:uid="{00000000-0005-0000-0000-000036070000}"/>
    <cellStyle name="Output 2 13" xfId="1847" xr:uid="{00000000-0005-0000-0000-000037070000}"/>
    <cellStyle name="Output 2 14" xfId="1848" xr:uid="{00000000-0005-0000-0000-000038070000}"/>
    <cellStyle name="Output 2 15" xfId="1849" xr:uid="{00000000-0005-0000-0000-000039070000}"/>
    <cellStyle name="Output 2 16" xfId="1850" xr:uid="{00000000-0005-0000-0000-00003A070000}"/>
    <cellStyle name="Output 2 17" xfId="1851" xr:uid="{00000000-0005-0000-0000-00003B070000}"/>
    <cellStyle name="Output 2 18" xfId="1852" xr:uid="{00000000-0005-0000-0000-00003C070000}"/>
    <cellStyle name="Output 2 19" xfId="1853" xr:uid="{00000000-0005-0000-0000-00003D070000}"/>
    <cellStyle name="Output 2 2" xfId="1854" xr:uid="{00000000-0005-0000-0000-00003E070000}"/>
    <cellStyle name="Output 2 20" xfId="1855" xr:uid="{00000000-0005-0000-0000-00003F070000}"/>
    <cellStyle name="Output 2 21" xfId="1856" xr:uid="{00000000-0005-0000-0000-000040070000}"/>
    <cellStyle name="Output 2 22" xfId="1857" xr:uid="{00000000-0005-0000-0000-000041070000}"/>
    <cellStyle name="Output 2 23" xfId="1858" xr:uid="{00000000-0005-0000-0000-000042070000}"/>
    <cellStyle name="Output 2 24" xfId="1859" xr:uid="{00000000-0005-0000-0000-000043070000}"/>
    <cellStyle name="Output 2 25" xfId="1860" xr:uid="{00000000-0005-0000-0000-000044070000}"/>
    <cellStyle name="Output 2 26" xfId="1861" xr:uid="{00000000-0005-0000-0000-000045070000}"/>
    <cellStyle name="Output 2 27" xfId="1862" xr:uid="{00000000-0005-0000-0000-000046070000}"/>
    <cellStyle name="Output 2 28" xfId="1863" xr:uid="{00000000-0005-0000-0000-000047070000}"/>
    <cellStyle name="Output 2 29" xfId="1864" xr:uid="{00000000-0005-0000-0000-000048070000}"/>
    <cellStyle name="Output 2 3" xfId="1865" xr:uid="{00000000-0005-0000-0000-000049070000}"/>
    <cellStyle name="Output 2 30" xfId="1866" xr:uid="{00000000-0005-0000-0000-00004A070000}"/>
    <cellStyle name="Output 2 31" xfId="1867" xr:uid="{00000000-0005-0000-0000-00004B070000}"/>
    <cellStyle name="Output 2 32" xfId="1868" xr:uid="{00000000-0005-0000-0000-00004C070000}"/>
    <cellStyle name="Output 2 33" xfId="1869" xr:uid="{00000000-0005-0000-0000-00004D070000}"/>
    <cellStyle name="Output 2 34" xfId="1870" xr:uid="{00000000-0005-0000-0000-00004E070000}"/>
    <cellStyle name="Output 2 35" xfId="1871" xr:uid="{00000000-0005-0000-0000-00004F070000}"/>
    <cellStyle name="Output 2 36" xfId="1872" xr:uid="{00000000-0005-0000-0000-000050070000}"/>
    <cellStyle name="Output 2 37" xfId="1873" xr:uid="{00000000-0005-0000-0000-000051070000}"/>
    <cellStyle name="Output 2 38" xfId="1874" xr:uid="{00000000-0005-0000-0000-000052070000}"/>
    <cellStyle name="Output 2 39" xfId="1875" xr:uid="{00000000-0005-0000-0000-000053070000}"/>
    <cellStyle name="Output 2 4" xfId="1876" xr:uid="{00000000-0005-0000-0000-000054070000}"/>
    <cellStyle name="Output 2 40" xfId="1877" xr:uid="{00000000-0005-0000-0000-000055070000}"/>
    <cellStyle name="Output 2 41" xfId="1878" xr:uid="{00000000-0005-0000-0000-000056070000}"/>
    <cellStyle name="Output 2 42" xfId="1879" xr:uid="{00000000-0005-0000-0000-000057070000}"/>
    <cellStyle name="Output 2 43" xfId="1880" xr:uid="{00000000-0005-0000-0000-000058070000}"/>
    <cellStyle name="Output 2 44" xfId="1881" xr:uid="{00000000-0005-0000-0000-000059070000}"/>
    <cellStyle name="Output 2 45" xfId="1882" xr:uid="{00000000-0005-0000-0000-00005A070000}"/>
    <cellStyle name="Output 2 46" xfId="1883" xr:uid="{00000000-0005-0000-0000-00005B070000}"/>
    <cellStyle name="Output 2 47" xfId="1884" xr:uid="{00000000-0005-0000-0000-00005C070000}"/>
    <cellStyle name="Output 2 48" xfId="1885" xr:uid="{00000000-0005-0000-0000-00005D070000}"/>
    <cellStyle name="Output 2 49" xfId="1886" xr:uid="{00000000-0005-0000-0000-00005E070000}"/>
    <cellStyle name="Output 2 5" xfId="1887" xr:uid="{00000000-0005-0000-0000-00005F070000}"/>
    <cellStyle name="Output 2 6" xfId="1888" xr:uid="{00000000-0005-0000-0000-000060070000}"/>
    <cellStyle name="Output 2 7" xfId="1889" xr:uid="{00000000-0005-0000-0000-000061070000}"/>
    <cellStyle name="Output 2 8" xfId="1890" xr:uid="{00000000-0005-0000-0000-000062070000}"/>
    <cellStyle name="Output 2 9" xfId="1891" xr:uid="{00000000-0005-0000-0000-000063070000}"/>
    <cellStyle name="Standard_2006-UK" xfId="1892" xr:uid="{00000000-0005-0000-0000-000064070000}"/>
    <cellStyle name="Title 2" xfId="1893" xr:uid="{00000000-0005-0000-0000-000065070000}"/>
    <cellStyle name="Title 2 10" xfId="1894" xr:uid="{00000000-0005-0000-0000-000066070000}"/>
    <cellStyle name="Title 2 11" xfId="1895" xr:uid="{00000000-0005-0000-0000-000067070000}"/>
    <cellStyle name="Title 2 12" xfId="1896" xr:uid="{00000000-0005-0000-0000-000068070000}"/>
    <cellStyle name="Title 2 13" xfId="1897" xr:uid="{00000000-0005-0000-0000-000069070000}"/>
    <cellStyle name="Title 2 14" xfId="1898" xr:uid="{00000000-0005-0000-0000-00006A070000}"/>
    <cellStyle name="Title 2 15" xfId="1899" xr:uid="{00000000-0005-0000-0000-00006B070000}"/>
    <cellStyle name="Title 2 16" xfId="1900" xr:uid="{00000000-0005-0000-0000-00006C070000}"/>
    <cellStyle name="Title 2 17" xfId="1901" xr:uid="{00000000-0005-0000-0000-00006D070000}"/>
    <cellStyle name="Title 2 18" xfId="1902" xr:uid="{00000000-0005-0000-0000-00006E070000}"/>
    <cellStyle name="Title 2 19" xfId="1903" xr:uid="{00000000-0005-0000-0000-00006F070000}"/>
    <cellStyle name="Title 2 2" xfId="1904" xr:uid="{00000000-0005-0000-0000-000070070000}"/>
    <cellStyle name="Title 2 20" xfId="1905" xr:uid="{00000000-0005-0000-0000-000071070000}"/>
    <cellStyle name="Title 2 21" xfId="1906" xr:uid="{00000000-0005-0000-0000-000072070000}"/>
    <cellStyle name="Title 2 22" xfId="1907" xr:uid="{00000000-0005-0000-0000-000073070000}"/>
    <cellStyle name="Title 2 23" xfId="1908" xr:uid="{00000000-0005-0000-0000-000074070000}"/>
    <cellStyle name="Title 2 24" xfId="1909" xr:uid="{00000000-0005-0000-0000-000075070000}"/>
    <cellStyle name="Title 2 25" xfId="1910" xr:uid="{00000000-0005-0000-0000-000076070000}"/>
    <cellStyle name="Title 2 26" xfId="1911" xr:uid="{00000000-0005-0000-0000-000077070000}"/>
    <cellStyle name="Title 2 27" xfId="1912" xr:uid="{00000000-0005-0000-0000-000078070000}"/>
    <cellStyle name="Title 2 28" xfId="1913" xr:uid="{00000000-0005-0000-0000-000079070000}"/>
    <cellStyle name="Title 2 29" xfId="1914" xr:uid="{00000000-0005-0000-0000-00007A070000}"/>
    <cellStyle name="Title 2 3" xfId="1915" xr:uid="{00000000-0005-0000-0000-00007B070000}"/>
    <cellStyle name="Title 2 30" xfId="1916" xr:uid="{00000000-0005-0000-0000-00007C070000}"/>
    <cellStyle name="Title 2 31" xfId="1917" xr:uid="{00000000-0005-0000-0000-00007D070000}"/>
    <cellStyle name="Title 2 32" xfId="1918" xr:uid="{00000000-0005-0000-0000-00007E070000}"/>
    <cellStyle name="Title 2 33" xfId="1919" xr:uid="{00000000-0005-0000-0000-00007F070000}"/>
    <cellStyle name="Title 2 34" xfId="1920" xr:uid="{00000000-0005-0000-0000-000080070000}"/>
    <cellStyle name="Title 2 35" xfId="1921" xr:uid="{00000000-0005-0000-0000-000081070000}"/>
    <cellStyle name="Title 2 36" xfId="1922" xr:uid="{00000000-0005-0000-0000-000082070000}"/>
    <cellStyle name="Title 2 37" xfId="1923" xr:uid="{00000000-0005-0000-0000-000083070000}"/>
    <cellStyle name="Title 2 38" xfId="1924" xr:uid="{00000000-0005-0000-0000-000084070000}"/>
    <cellStyle name="Title 2 39" xfId="1925" xr:uid="{00000000-0005-0000-0000-000085070000}"/>
    <cellStyle name="Title 2 4" xfId="1926" xr:uid="{00000000-0005-0000-0000-000086070000}"/>
    <cellStyle name="Title 2 40" xfId="1927" xr:uid="{00000000-0005-0000-0000-000087070000}"/>
    <cellStyle name="Title 2 41" xfId="1928" xr:uid="{00000000-0005-0000-0000-000088070000}"/>
    <cellStyle name="Title 2 42" xfId="1929" xr:uid="{00000000-0005-0000-0000-000089070000}"/>
    <cellStyle name="Title 2 43" xfId="1930" xr:uid="{00000000-0005-0000-0000-00008A070000}"/>
    <cellStyle name="Title 2 44" xfId="1931" xr:uid="{00000000-0005-0000-0000-00008B070000}"/>
    <cellStyle name="Title 2 45" xfId="1932" xr:uid="{00000000-0005-0000-0000-00008C070000}"/>
    <cellStyle name="Title 2 46" xfId="1933" xr:uid="{00000000-0005-0000-0000-00008D070000}"/>
    <cellStyle name="Title 2 47" xfId="1934" xr:uid="{00000000-0005-0000-0000-00008E070000}"/>
    <cellStyle name="Title 2 48" xfId="1935" xr:uid="{00000000-0005-0000-0000-00008F070000}"/>
    <cellStyle name="Title 2 49" xfId="1936" xr:uid="{00000000-0005-0000-0000-000090070000}"/>
    <cellStyle name="Title 2 49 2" xfId="1937" xr:uid="{00000000-0005-0000-0000-000091070000}"/>
    <cellStyle name="Title 2 5" xfId="1938" xr:uid="{00000000-0005-0000-0000-000092070000}"/>
    <cellStyle name="Title 2 50" xfId="1939" xr:uid="{00000000-0005-0000-0000-000093070000}"/>
    <cellStyle name="Title 2 50 2" xfId="1940" xr:uid="{00000000-0005-0000-0000-000094070000}"/>
    <cellStyle name="Title 2 6" xfId="1941" xr:uid="{00000000-0005-0000-0000-000095070000}"/>
    <cellStyle name="Title 2 7" xfId="1942" xr:uid="{00000000-0005-0000-0000-000096070000}"/>
    <cellStyle name="Title 2 8" xfId="1943" xr:uid="{00000000-0005-0000-0000-000097070000}"/>
    <cellStyle name="Title 2 9" xfId="1944" xr:uid="{00000000-0005-0000-0000-000098070000}"/>
    <cellStyle name="Total 2" xfId="1945" xr:uid="{00000000-0005-0000-0000-000099070000}"/>
    <cellStyle name="Total 2 10" xfId="1946" xr:uid="{00000000-0005-0000-0000-00009A070000}"/>
    <cellStyle name="Total 2 11" xfId="1947" xr:uid="{00000000-0005-0000-0000-00009B070000}"/>
    <cellStyle name="Total 2 12" xfId="1948" xr:uid="{00000000-0005-0000-0000-00009C070000}"/>
    <cellStyle name="Total 2 13" xfId="1949" xr:uid="{00000000-0005-0000-0000-00009D070000}"/>
    <cellStyle name="Total 2 14" xfId="1950" xr:uid="{00000000-0005-0000-0000-00009E070000}"/>
    <cellStyle name="Total 2 15" xfId="1951" xr:uid="{00000000-0005-0000-0000-00009F070000}"/>
    <cellStyle name="Total 2 16" xfId="1952" xr:uid="{00000000-0005-0000-0000-0000A0070000}"/>
    <cellStyle name="Total 2 17" xfId="1953" xr:uid="{00000000-0005-0000-0000-0000A1070000}"/>
    <cellStyle name="Total 2 18" xfId="1954" xr:uid="{00000000-0005-0000-0000-0000A2070000}"/>
    <cellStyle name="Total 2 19" xfId="1955" xr:uid="{00000000-0005-0000-0000-0000A3070000}"/>
    <cellStyle name="Total 2 2" xfId="1956" xr:uid="{00000000-0005-0000-0000-0000A4070000}"/>
    <cellStyle name="Total 2 20" xfId="1957" xr:uid="{00000000-0005-0000-0000-0000A5070000}"/>
    <cellStyle name="Total 2 21" xfId="1958" xr:uid="{00000000-0005-0000-0000-0000A6070000}"/>
    <cellStyle name="Total 2 22" xfId="1959" xr:uid="{00000000-0005-0000-0000-0000A7070000}"/>
    <cellStyle name="Total 2 23" xfId="1960" xr:uid="{00000000-0005-0000-0000-0000A8070000}"/>
    <cellStyle name="Total 2 24" xfId="1961" xr:uid="{00000000-0005-0000-0000-0000A9070000}"/>
    <cellStyle name="Total 2 25" xfId="1962" xr:uid="{00000000-0005-0000-0000-0000AA070000}"/>
    <cellStyle name="Total 2 26" xfId="1963" xr:uid="{00000000-0005-0000-0000-0000AB070000}"/>
    <cellStyle name="Total 2 27" xfId="1964" xr:uid="{00000000-0005-0000-0000-0000AC070000}"/>
    <cellStyle name="Total 2 28" xfId="1965" xr:uid="{00000000-0005-0000-0000-0000AD070000}"/>
    <cellStyle name="Total 2 29" xfId="1966" xr:uid="{00000000-0005-0000-0000-0000AE070000}"/>
    <cellStyle name="Total 2 3" xfId="1967" xr:uid="{00000000-0005-0000-0000-0000AF070000}"/>
    <cellStyle name="Total 2 30" xfId="1968" xr:uid="{00000000-0005-0000-0000-0000B0070000}"/>
    <cellStyle name="Total 2 31" xfId="1969" xr:uid="{00000000-0005-0000-0000-0000B1070000}"/>
    <cellStyle name="Total 2 32" xfId="1970" xr:uid="{00000000-0005-0000-0000-0000B2070000}"/>
    <cellStyle name="Total 2 33" xfId="1971" xr:uid="{00000000-0005-0000-0000-0000B3070000}"/>
    <cellStyle name="Total 2 34" xfId="1972" xr:uid="{00000000-0005-0000-0000-0000B4070000}"/>
    <cellStyle name="Total 2 35" xfId="1973" xr:uid="{00000000-0005-0000-0000-0000B5070000}"/>
    <cellStyle name="Total 2 36" xfId="1974" xr:uid="{00000000-0005-0000-0000-0000B6070000}"/>
    <cellStyle name="Total 2 37" xfId="1975" xr:uid="{00000000-0005-0000-0000-0000B7070000}"/>
    <cellStyle name="Total 2 38" xfId="1976" xr:uid="{00000000-0005-0000-0000-0000B8070000}"/>
    <cellStyle name="Total 2 39" xfId="1977" xr:uid="{00000000-0005-0000-0000-0000B9070000}"/>
    <cellStyle name="Total 2 4" xfId="1978" xr:uid="{00000000-0005-0000-0000-0000BA070000}"/>
    <cellStyle name="Total 2 40" xfId="1979" xr:uid="{00000000-0005-0000-0000-0000BB070000}"/>
    <cellStyle name="Total 2 41" xfId="1980" xr:uid="{00000000-0005-0000-0000-0000BC070000}"/>
    <cellStyle name="Total 2 42" xfId="1981" xr:uid="{00000000-0005-0000-0000-0000BD070000}"/>
    <cellStyle name="Total 2 43" xfId="1982" xr:uid="{00000000-0005-0000-0000-0000BE070000}"/>
    <cellStyle name="Total 2 44" xfId="1983" xr:uid="{00000000-0005-0000-0000-0000BF070000}"/>
    <cellStyle name="Total 2 45" xfId="1984" xr:uid="{00000000-0005-0000-0000-0000C0070000}"/>
    <cellStyle name="Total 2 46" xfId="1985" xr:uid="{00000000-0005-0000-0000-0000C1070000}"/>
    <cellStyle name="Total 2 47" xfId="1986" xr:uid="{00000000-0005-0000-0000-0000C2070000}"/>
    <cellStyle name="Total 2 48" xfId="1987" xr:uid="{00000000-0005-0000-0000-0000C3070000}"/>
    <cellStyle name="Total 2 49" xfId="1988" xr:uid="{00000000-0005-0000-0000-0000C4070000}"/>
    <cellStyle name="Total 2 5" xfId="1989" xr:uid="{00000000-0005-0000-0000-0000C5070000}"/>
    <cellStyle name="Total 2 6" xfId="1990" xr:uid="{00000000-0005-0000-0000-0000C6070000}"/>
    <cellStyle name="Total 2 7" xfId="1991" xr:uid="{00000000-0005-0000-0000-0000C7070000}"/>
    <cellStyle name="Total 2 8" xfId="1992" xr:uid="{00000000-0005-0000-0000-0000C8070000}"/>
    <cellStyle name="Total 2 9" xfId="1993" xr:uid="{00000000-0005-0000-0000-0000C9070000}"/>
    <cellStyle name="Warning Text" xfId="1994" builtinId="11" customBuiltin="1"/>
  </cellStyles>
  <dxfs count="6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mt\RLDLwork\2009\herbage\irg_hrg\irgy2d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1P1"/>
      <sheetName val="M1P2"/>
      <sheetName val="M1P3"/>
      <sheetName val="M1P4"/>
      <sheetName val="M1P5"/>
      <sheetName val="M2P1"/>
      <sheetName val="M2P2"/>
      <sheetName val="M2P3"/>
      <sheetName val="M2P4"/>
      <sheetName val="M2P5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3">
          <cell r="I63">
            <v>7.1369999999999996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pageSetUpPr fitToPage="1"/>
  </sheetPr>
  <dimension ref="A1:BP54"/>
  <sheetViews>
    <sheetView zoomScale="80" zoomScaleNormal="80" workbookViewId="0">
      <selection activeCell="G44" sqref="G44"/>
    </sheetView>
  </sheetViews>
  <sheetFormatPr defaultColWidth="9.140625" defaultRowHeight="12.75" x14ac:dyDescent="0.2"/>
  <cols>
    <col min="1" max="1" width="45.5703125" customWidth="1"/>
    <col min="2" max="2" width="10.5703125" style="59" customWidth="1"/>
    <col min="3" max="3" width="9.28515625" style="59" customWidth="1"/>
    <col min="4" max="4" width="10.140625" style="59" customWidth="1"/>
    <col min="5" max="5" width="10.28515625" style="59" customWidth="1"/>
    <col min="6" max="6" width="11.7109375" style="59" customWidth="1"/>
    <col min="7" max="7" width="9.28515625" style="59" customWidth="1"/>
    <col min="8" max="10" width="10.28515625" style="59" customWidth="1"/>
    <col min="11" max="11" width="6.28515625" customWidth="1"/>
    <col min="12" max="14" width="9.140625" style="386"/>
    <col min="15" max="23" width="9.140625" style="29"/>
  </cols>
  <sheetData>
    <row r="1" spans="1:23" ht="15" x14ac:dyDescent="0.25">
      <c r="A1" s="25" t="s">
        <v>320</v>
      </c>
      <c r="B1" s="62"/>
      <c r="C1" s="62"/>
      <c r="D1" s="3"/>
      <c r="E1" s="3"/>
      <c r="F1" s="3"/>
      <c r="G1" s="62"/>
      <c r="H1" s="393"/>
      <c r="I1" s="393"/>
      <c r="J1" s="394"/>
      <c r="K1" s="394"/>
      <c r="L1" s="385"/>
    </row>
    <row r="2" spans="1:23" ht="15" customHeight="1" thickBot="1" x14ac:dyDescent="0.3">
      <c r="A2" s="26"/>
      <c r="B2" s="62"/>
      <c r="C2" s="62"/>
      <c r="D2" s="3"/>
      <c r="E2" s="3"/>
      <c r="F2" s="3"/>
      <c r="G2" s="62"/>
      <c r="H2" s="3"/>
      <c r="I2" s="3"/>
      <c r="J2" s="3"/>
      <c r="K2" s="3"/>
    </row>
    <row r="3" spans="1:23" ht="15.6" customHeight="1" thickBot="1" x14ac:dyDescent="0.3">
      <c r="A3" s="103"/>
      <c r="B3" s="104"/>
      <c r="C3" s="105"/>
      <c r="D3" s="1230" t="s">
        <v>21</v>
      </c>
      <c r="E3" s="1230"/>
      <c r="F3" s="1230"/>
      <c r="G3" s="105"/>
      <c r="H3" s="1231" t="s">
        <v>22</v>
      </c>
      <c r="I3" s="1231"/>
      <c r="J3" s="1232"/>
      <c r="K3" s="3"/>
    </row>
    <row r="4" spans="1:23" ht="96.75" customHeight="1" x14ac:dyDescent="0.2">
      <c r="A4" s="106"/>
      <c r="B4" s="107" t="s">
        <v>117</v>
      </c>
      <c r="C4" s="34" t="s">
        <v>147</v>
      </c>
      <c r="D4" s="463" t="s">
        <v>52</v>
      </c>
      <c r="E4" s="464" t="s">
        <v>53</v>
      </c>
      <c r="F4" s="463" t="s">
        <v>96</v>
      </c>
      <c r="G4" s="34" t="s">
        <v>224</v>
      </c>
      <c r="H4" s="464" t="s">
        <v>144</v>
      </c>
      <c r="I4" s="464" t="s">
        <v>145</v>
      </c>
      <c r="J4" s="461" t="s">
        <v>202</v>
      </c>
      <c r="O4" s="386"/>
      <c r="P4" s="386"/>
      <c r="Q4" s="386"/>
      <c r="R4" s="386"/>
      <c r="S4" s="386"/>
      <c r="T4" s="386"/>
      <c r="U4" s="386"/>
      <c r="V4" s="386"/>
    </row>
    <row r="5" spans="1:23" ht="17.25" customHeight="1" x14ac:dyDescent="0.2">
      <c r="A5" s="27" t="s">
        <v>24</v>
      </c>
      <c r="B5" s="744"/>
      <c r="C5" s="744"/>
      <c r="D5" s="411" t="s">
        <v>1</v>
      </c>
      <c r="E5" s="411" t="s">
        <v>1</v>
      </c>
      <c r="F5" s="552" t="s">
        <v>1</v>
      </c>
      <c r="G5" s="744"/>
      <c r="H5" s="411" t="s">
        <v>1</v>
      </c>
      <c r="I5" s="411" t="s">
        <v>3</v>
      </c>
      <c r="J5" s="609" t="s">
        <v>3</v>
      </c>
      <c r="O5" s="386"/>
      <c r="P5" s="386"/>
      <c r="Q5" s="386"/>
      <c r="R5" s="386"/>
      <c r="S5" s="386"/>
      <c r="T5" s="386"/>
      <c r="U5" s="386"/>
      <c r="V5" s="386"/>
    </row>
    <row r="6" spans="1:23" ht="17.25" customHeight="1" x14ac:dyDescent="0.2">
      <c r="A6" s="33" t="s">
        <v>9</v>
      </c>
      <c r="B6" s="745"/>
      <c r="C6" s="745"/>
      <c r="D6" s="15">
        <v>132.67099999999999</v>
      </c>
      <c r="E6" s="15">
        <v>135.16500000000002</v>
      </c>
      <c r="F6" s="17">
        <v>138.501</v>
      </c>
      <c r="G6" s="745"/>
      <c r="H6" s="550">
        <v>130.86799999999999</v>
      </c>
      <c r="I6" s="467">
        <v>138.62799999999999</v>
      </c>
      <c r="J6" s="531">
        <v>141.86199999999999</v>
      </c>
      <c r="O6" s="386"/>
      <c r="P6" s="386"/>
      <c r="Q6" s="386"/>
      <c r="R6" s="386"/>
      <c r="S6" s="386"/>
      <c r="T6" s="386"/>
      <c r="U6" s="386"/>
      <c r="V6" s="386"/>
    </row>
    <row r="7" spans="1:23" s="16" customFormat="1" ht="16.5" customHeight="1" x14ac:dyDescent="0.2">
      <c r="A7" s="150" t="s">
        <v>11</v>
      </c>
      <c r="B7" s="775"/>
      <c r="C7" s="775"/>
      <c r="D7" s="776"/>
      <c r="E7" s="777"/>
      <c r="F7" s="772"/>
      <c r="G7" s="775"/>
      <c r="H7" s="772"/>
      <c r="I7" s="777"/>
      <c r="J7" s="778"/>
      <c r="L7" s="387"/>
      <c r="M7" s="387"/>
      <c r="N7" s="386"/>
      <c r="O7" s="386"/>
      <c r="P7" s="386"/>
      <c r="Q7" s="387"/>
      <c r="R7" s="387"/>
      <c r="S7" s="387"/>
      <c r="T7" s="387"/>
      <c r="U7" s="387"/>
      <c r="V7" s="387"/>
      <c r="W7" s="147"/>
    </row>
    <row r="8" spans="1:23" s="16" customFormat="1" ht="16.5" customHeight="1" x14ac:dyDescent="0.2">
      <c r="A8" s="421" t="s">
        <v>289</v>
      </c>
      <c r="B8" s="267">
        <v>100</v>
      </c>
      <c r="C8" s="73">
        <v>97.567231390000003</v>
      </c>
      <c r="D8" s="268">
        <v>96.761409999999998</v>
      </c>
      <c r="E8" s="268">
        <v>97.8142</v>
      </c>
      <c r="F8" s="360">
        <v>98.126090000000005</v>
      </c>
      <c r="G8" s="73">
        <v>94.868077967291342</v>
      </c>
      <c r="H8" s="269">
        <v>94.868077967291342</v>
      </c>
      <c r="I8" s="268">
        <v>96.143987469705252</v>
      </c>
      <c r="J8" s="724">
        <v>96.733437653841833</v>
      </c>
      <c r="L8" s="388"/>
      <c r="M8" s="387"/>
      <c r="N8" s="386"/>
      <c r="O8" s="386"/>
      <c r="P8" s="386"/>
      <c r="Q8" s="387"/>
      <c r="R8" s="387"/>
      <c r="S8" s="387"/>
      <c r="T8" s="387"/>
      <c r="U8" s="387"/>
      <c r="V8" s="387"/>
      <c r="W8" s="147"/>
    </row>
    <row r="9" spans="1:23" s="16" customFormat="1" ht="16.5" customHeight="1" x14ac:dyDescent="0.2">
      <c r="A9" s="471" t="s">
        <v>321</v>
      </c>
      <c r="B9" s="270">
        <f>65+11.4268459223005</f>
        <v>76.426845922300501</v>
      </c>
      <c r="C9" s="83">
        <f>65+10.12181596</f>
        <v>75.121815959999992</v>
      </c>
      <c r="D9" s="271">
        <f>65+9.808464</f>
        <v>74.808464000000001</v>
      </c>
      <c r="E9" s="271">
        <f>65+9.582125</f>
        <v>74.582125000000005</v>
      </c>
      <c r="F9" s="272">
        <f>65+10.97486</f>
        <v>75.974860000000007</v>
      </c>
      <c r="G9" s="83">
        <f>65+10.999401565347</f>
        <v>75.999401565347</v>
      </c>
      <c r="H9" s="273">
        <f>65+10.999401565347</f>
        <v>75.999401565347</v>
      </c>
      <c r="I9" s="271">
        <f>65+11.5064690131244</f>
        <v>76.506469013124402</v>
      </c>
      <c r="J9" s="725">
        <f>65+10.3346740853506</f>
        <v>75.334674085350599</v>
      </c>
      <c r="L9" s="388"/>
      <c r="M9" s="387"/>
      <c r="N9" s="386"/>
      <c r="O9" s="386"/>
      <c r="P9" s="386"/>
      <c r="Q9" s="387"/>
      <c r="R9" s="387"/>
      <c r="S9" s="387"/>
      <c r="T9" s="387"/>
      <c r="U9" s="387"/>
      <c r="V9" s="387"/>
      <c r="W9" s="147"/>
    </row>
    <row r="10" spans="1:23" s="16" customFormat="1" ht="16.5" customHeight="1" x14ac:dyDescent="0.2">
      <c r="A10" s="424" t="s">
        <v>290</v>
      </c>
      <c r="B10" s="274">
        <v>100</v>
      </c>
      <c r="C10" s="186">
        <v>95.88182243</v>
      </c>
      <c r="D10" s="139">
        <v>94.759649999999993</v>
      </c>
      <c r="E10" s="139">
        <v>95.660179999999997</v>
      </c>
      <c r="F10" s="187">
        <v>97.225639999999999</v>
      </c>
      <c r="G10" s="186">
        <v>93.927021032049694</v>
      </c>
      <c r="H10" s="140">
        <v>93.927021032049694</v>
      </c>
      <c r="I10" s="139">
        <v>95.87554676184682</v>
      </c>
      <c r="J10" s="726">
        <v>95.263636919649954</v>
      </c>
      <c r="L10" s="388"/>
      <c r="M10" s="387"/>
      <c r="N10" s="386"/>
      <c r="O10" s="386"/>
      <c r="P10" s="386"/>
      <c r="Q10" s="387"/>
      <c r="R10" s="387"/>
      <c r="S10" s="387"/>
      <c r="T10" s="387"/>
      <c r="U10" s="387"/>
      <c r="V10" s="387"/>
      <c r="W10" s="147"/>
    </row>
    <row r="11" spans="1:23" s="16" customFormat="1" ht="16.5" customHeight="1" x14ac:dyDescent="0.2">
      <c r="A11" s="150" t="s">
        <v>12</v>
      </c>
      <c r="B11" s="145"/>
      <c r="C11" s="264"/>
      <c r="D11" s="265"/>
      <c r="E11" s="265"/>
      <c r="F11" s="265"/>
      <c r="G11" s="264"/>
      <c r="H11" s="265"/>
      <c r="I11" s="265"/>
      <c r="J11" s="727"/>
      <c r="L11" s="388"/>
      <c r="M11" s="387"/>
      <c r="N11" s="386"/>
      <c r="O11" s="386"/>
      <c r="P11" s="386"/>
      <c r="Q11" s="387"/>
      <c r="R11" s="387"/>
      <c r="S11" s="387"/>
      <c r="T11" s="387"/>
      <c r="U11" s="387"/>
      <c r="V11" s="387"/>
      <c r="W11" s="147"/>
    </row>
    <row r="12" spans="1:23" s="16" customFormat="1" ht="16.5" customHeight="1" x14ac:dyDescent="0.2">
      <c r="A12" s="422" t="s">
        <v>298</v>
      </c>
      <c r="B12" s="278">
        <v>100</v>
      </c>
      <c r="C12" s="76">
        <v>105.38740363318927</v>
      </c>
      <c r="D12" s="361">
        <v>106.77319782481126</v>
      </c>
      <c r="E12" s="361">
        <v>104.62351968836248</v>
      </c>
      <c r="F12" s="362">
        <v>104.76549338639404</v>
      </c>
      <c r="G12" s="76">
        <v>103.39531020264947</v>
      </c>
      <c r="H12" s="269">
        <v>103.39531020264947</v>
      </c>
      <c r="I12" s="361">
        <v>101.81127603830292</v>
      </c>
      <c r="J12" s="728">
        <v>110.00675293116552</v>
      </c>
      <c r="L12" s="388"/>
      <c r="M12" s="387"/>
      <c r="N12" s="386"/>
      <c r="O12" s="386"/>
      <c r="P12" s="386"/>
      <c r="Q12" s="387"/>
      <c r="R12" s="387"/>
      <c r="S12" s="387"/>
      <c r="T12" s="387"/>
      <c r="U12" s="387"/>
      <c r="V12" s="387"/>
      <c r="W12" s="147"/>
    </row>
    <row r="13" spans="1:23" s="16" customFormat="1" ht="27.75" customHeight="1" x14ac:dyDescent="0.2">
      <c r="A13" s="449" t="s">
        <v>299</v>
      </c>
      <c r="B13" s="135">
        <v>100</v>
      </c>
      <c r="C13" s="186">
        <v>101.52746990532737</v>
      </c>
      <c r="D13" s="139">
        <v>102.73561869555816</v>
      </c>
      <c r="E13" s="139">
        <v>100.29134301517277</v>
      </c>
      <c r="F13" s="187">
        <v>101.55544800525119</v>
      </c>
      <c r="G13" s="186">
        <v>102.11525728670672</v>
      </c>
      <c r="H13" s="140">
        <v>102.11525728670672</v>
      </c>
      <c r="I13" s="139">
        <v>100.96250865331307</v>
      </c>
      <c r="J13" s="726">
        <v>109.56063263836209</v>
      </c>
      <c r="L13" s="389"/>
      <c r="M13" s="387"/>
      <c r="N13" s="386"/>
      <c r="O13" s="386"/>
      <c r="P13" s="386"/>
      <c r="Q13" s="387"/>
      <c r="R13" s="387"/>
      <c r="S13" s="387"/>
      <c r="T13" s="387"/>
      <c r="U13" s="387"/>
      <c r="V13" s="387"/>
      <c r="W13" s="147"/>
    </row>
    <row r="14" spans="1:23" s="16" customFormat="1" ht="16.5" customHeight="1" x14ac:dyDescent="0.2">
      <c r="A14" s="422" t="s">
        <v>293</v>
      </c>
      <c r="B14" s="278">
        <v>100</v>
      </c>
      <c r="C14" s="142">
        <v>102.6463761</v>
      </c>
      <c r="D14" s="364">
        <v>104.0522</v>
      </c>
      <c r="E14" s="364">
        <v>103.84010000000001</v>
      </c>
      <c r="F14" s="363">
        <v>100.04689999999999</v>
      </c>
      <c r="G14" s="142">
        <v>100.8618002</v>
      </c>
      <c r="H14" s="281">
        <v>100.8618</v>
      </c>
      <c r="I14" s="364">
        <v>100.31</v>
      </c>
      <c r="J14" s="729">
        <v>104.65179999999999</v>
      </c>
      <c r="L14" s="388"/>
      <c r="M14" s="387"/>
      <c r="N14" s="386"/>
      <c r="O14" s="29"/>
      <c r="P14" s="29"/>
      <c r="Q14" s="147"/>
      <c r="R14" s="147"/>
      <c r="S14" s="147"/>
      <c r="T14" s="147"/>
      <c r="U14" s="147"/>
      <c r="V14" s="147"/>
      <c r="W14" s="147"/>
    </row>
    <row r="15" spans="1:23" s="16" customFormat="1" ht="16.5" customHeight="1" x14ac:dyDescent="0.2">
      <c r="A15" s="451" t="s">
        <v>297</v>
      </c>
      <c r="B15" s="280">
        <v>100</v>
      </c>
      <c r="C15" s="284">
        <v>103.98450898534686</v>
      </c>
      <c r="D15" s="364">
        <v>105.31552041866237</v>
      </c>
      <c r="E15" s="364">
        <v>104.23180984418123</v>
      </c>
      <c r="F15" s="363">
        <v>102.40619669319702</v>
      </c>
      <c r="G15" s="284">
        <v>102.03807259408725</v>
      </c>
      <c r="H15" s="281">
        <v>102.03807259408725</v>
      </c>
      <c r="I15" s="364">
        <v>101.16787202188736</v>
      </c>
      <c r="J15" s="730">
        <v>107.32927646558277</v>
      </c>
      <c r="L15" s="388"/>
      <c r="M15" s="387"/>
      <c r="N15" s="387"/>
      <c r="O15" s="147"/>
      <c r="P15" s="147"/>
      <c r="Q15" s="147"/>
      <c r="R15" s="147"/>
      <c r="S15" s="147"/>
      <c r="T15" s="147"/>
      <c r="U15" s="147"/>
      <c r="V15" s="147"/>
      <c r="W15" s="147"/>
    </row>
    <row r="16" spans="1:23" s="16" customFormat="1" ht="16.5" customHeight="1" x14ac:dyDescent="0.2">
      <c r="A16" s="295" t="s">
        <v>13</v>
      </c>
      <c r="B16" s="296"/>
      <c r="C16" s="297"/>
      <c r="D16" s="298"/>
      <c r="E16" s="298"/>
      <c r="F16" s="298"/>
      <c r="G16" s="297"/>
      <c r="H16" s="298"/>
      <c r="I16" s="298"/>
      <c r="J16" s="731"/>
      <c r="L16" s="388"/>
      <c r="M16" s="387"/>
      <c r="N16" s="387"/>
      <c r="O16" s="147"/>
      <c r="P16" s="147"/>
      <c r="Q16" s="147"/>
      <c r="R16" s="147"/>
      <c r="S16" s="147"/>
      <c r="T16" s="147"/>
      <c r="U16" s="147"/>
      <c r="V16" s="147"/>
      <c r="W16" s="147"/>
    </row>
    <row r="17" spans="1:68" s="16" customFormat="1" ht="16.5" customHeight="1" x14ac:dyDescent="0.2">
      <c r="A17" s="177" t="s">
        <v>89</v>
      </c>
      <c r="B17" s="280">
        <v>69.719742699999998</v>
      </c>
      <c r="C17" s="142">
        <v>65.858188780000006</v>
      </c>
      <c r="D17" s="364">
        <v>68.174952704059692</v>
      </c>
      <c r="E17" s="364">
        <v>64.59134021092207</v>
      </c>
      <c r="F17" s="363">
        <v>64.808273410779847</v>
      </c>
      <c r="G17" s="142">
        <v>68.635183620000006</v>
      </c>
      <c r="H17" s="281">
        <v>68.63518361908389</v>
      </c>
      <c r="I17" s="364">
        <v>66.566161271150548</v>
      </c>
      <c r="J17" s="729">
        <v>54.813438749467217</v>
      </c>
      <c r="L17" s="388"/>
      <c r="M17" s="387"/>
      <c r="N17" s="387"/>
      <c r="O17" s="147"/>
      <c r="P17" s="147"/>
      <c r="Q17" s="147"/>
      <c r="R17" s="147"/>
      <c r="S17" s="147"/>
      <c r="T17" s="147"/>
      <c r="U17" s="147"/>
      <c r="V17" s="147"/>
      <c r="W17" s="147"/>
    </row>
    <row r="18" spans="1:68" s="125" customFormat="1" ht="16.5" customHeight="1" x14ac:dyDescent="0.2">
      <c r="A18" s="177" t="s">
        <v>20</v>
      </c>
      <c r="B18" s="278">
        <v>65.155071468212995</v>
      </c>
      <c r="C18" s="76">
        <v>67.23610004767373</v>
      </c>
      <c r="D18" s="368">
        <v>68.034472460336175</v>
      </c>
      <c r="E18" s="368">
        <v>67.11206155756274</v>
      </c>
      <c r="F18" s="369">
        <v>66.561766125122261</v>
      </c>
      <c r="G18" s="76">
        <v>67.568205747113879</v>
      </c>
      <c r="H18" s="279">
        <v>67.568205747113879</v>
      </c>
      <c r="I18" s="368">
        <v>66.000424529408178</v>
      </c>
      <c r="J18" s="732">
        <v>54.224273209582172</v>
      </c>
      <c r="K18" s="16"/>
      <c r="L18" s="388"/>
      <c r="M18" s="387"/>
      <c r="N18" s="387"/>
      <c r="O18" s="147"/>
      <c r="P18" s="147"/>
      <c r="Q18" s="147"/>
      <c r="R18" s="147"/>
      <c r="S18" s="147"/>
      <c r="T18" s="147"/>
      <c r="U18" s="147"/>
      <c r="V18" s="147"/>
      <c r="W18" s="147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</row>
    <row r="19" spans="1:68" s="16" customFormat="1" ht="16.5" customHeight="1" x14ac:dyDescent="0.2">
      <c r="A19" s="259" t="s">
        <v>90</v>
      </c>
      <c r="B19" s="536">
        <v>6.4011358781683176</v>
      </c>
      <c r="C19" s="591">
        <v>6.2529845034408877</v>
      </c>
      <c r="D19" s="537">
        <v>6.4917132181457484</v>
      </c>
      <c r="E19" s="537">
        <v>6.1464212558196332</v>
      </c>
      <c r="F19" s="538">
        <v>6.1208190363572799</v>
      </c>
      <c r="G19" s="591">
        <v>6.4861671675691808</v>
      </c>
      <c r="H19" s="592">
        <v>6.4861671675691808</v>
      </c>
      <c r="I19" s="537">
        <v>6.2189207297351681</v>
      </c>
      <c r="J19" s="733">
        <v>4.4056962784549905</v>
      </c>
      <c r="L19" s="388"/>
      <c r="M19" s="387"/>
      <c r="N19" s="387"/>
      <c r="O19" s="147"/>
      <c r="P19" s="147"/>
      <c r="Q19" s="147"/>
      <c r="R19" s="147"/>
      <c r="S19" s="147"/>
      <c r="T19" s="147"/>
      <c r="U19" s="147"/>
      <c r="V19" s="147"/>
      <c r="W19" s="147"/>
    </row>
    <row r="20" spans="1:68" s="16" customFormat="1" ht="16.5" customHeight="1" x14ac:dyDescent="0.2">
      <c r="A20" s="299" t="s">
        <v>213</v>
      </c>
      <c r="B20" s="300">
        <v>7.3051535259999998</v>
      </c>
      <c r="C20" s="294">
        <v>7.3801545329999998</v>
      </c>
      <c r="D20" s="301">
        <v>7.3729969999999998</v>
      </c>
      <c r="E20" s="301">
        <v>7.2313369999999999</v>
      </c>
      <c r="F20" s="302">
        <v>7.5361289999999999</v>
      </c>
      <c r="G20" s="294">
        <v>7.4021972920000003</v>
      </c>
      <c r="H20" s="332">
        <v>7.4021970000000001</v>
      </c>
      <c r="I20" s="301">
        <v>7.4452559999999997</v>
      </c>
      <c r="J20" s="736" t="s">
        <v>294</v>
      </c>
      <c r="L20" s="388"/>
      <c r="M20" s="387"/>
      <c r="N20" s="387"/>
      <c r="O20" s="147"/>
      <c r="P20" s="147"/>
      <c r="Q20" s="147"/>
      <c r="R20" s="147"/>
      <c r="S20" s="147"/>
      <c r="T20" s="147"/>
      <c r="U20" s="147"/>
      <c r="V20" s="147"/>
      <c r="W20" s="147"/>
    </row>
    <row r="21" spans="1:68" s="16" customFormat="1" ht="16.5" customHeight="1" x14ac:dyDescent="0.2">
      <c r="A21" s="276" t="s">
        <v>10</v>
      </c>
      <c r="B21" s="769"/>
      <c r="C21" s="770"/>
      <c r="D21" s="771"/>
      <c r="E21" s="772"/>
      <c r="F21" s="772"/>
      <c r="G21" s="770"/>
      <c r="H21" s="773"/>
      <c r="I21" s="772"/>
      <c r="J21" s="774"/>
      <c r="L21" s="388"/>
      <c r="M21" s="387"/>
      <c r="N21" s="387"/>
      <c r="O21" s="147"/>
      <c r="P21" s="147"/>
      <c r="Q21" s="147"/>
      <c r="R21" s="147"/>
      <c r="S21" s="147"/>
      <c r="T21" s="147"/>
      <c r="U21" s="147"/>
      <c r="V21" s="147"/>
      <c r="W21" s="147"/>
    </row>
    <row r="22" spans="1:68" s="16" customFormat="1" ht="16.5" customHeight="1" x14ac:dyDescent="0.2">
      <c r="A22" s="421" t="s">
        <v>303</v>
      </c>
      <c r="B22" s="267">
        <v>100</v>
      </c>
      <c r="C22" s="73">
        <v>118.3331</v>
      </c>
      <c r="D22" s="268">
        <v>123.4081</v>
      </c>
      <c r="E22" s="268">
        <v>117.194</v>
      </c>
      <c r="F22" s="360">
        <v>114.3972</v>
      </c>
      <c r="G22" s="73">
        <v>108.8689</v>
      </c>
      <c r="H22" s="269">
        <v>108.8689</v>
      </c>
      <c r="I22" s="268">
        <v>105.9158</v>
      </c>
      <c r="J22" s="724">
        <v>124.2418</v>
      </c>
      <c r="L22" s="388"/>
      <c r="M22" s="387"/>
      <c r="N22" s="387"/>
      <c r="O22" s="147"/>
      <c r="P22" s="147"/>
      <c r="Q22" s="147"/>
      <c r="R22" s="147"/>
      <c r="S22" s="147"/>
      <c r="T22" s="147"/>
      <c r="U22" s="147"/>
      <c r="V22" s="147"/>
      <c r="W22" s="147"/>
    </row>
    <row r="23" spans="1:68" s="16" customFormat="1" ht="16.5" customHeight="1" x14ac:dyDescent="0.2">
      <c r="A23" s="422" t="s">
        <v>304</v>
      </c>
      <c r="B23" s="278">
        <v>100</v>
      </c>
      <c r="C23" s="76">
        <v>109.3519</v>
      </c>
      <c r="D23" s="361">
        <v>110.86969999999999</v>
      </c>
      <c r="E23" s="361">
        <v>109.9079</v>
      </c>
      <c r="F23" s="362">
        <v>107.27800000000001</v>
      </c>
      <c r="G23" s="76">
        <v>105.5946</v>
      </c>
      <c r="H23" s="279">
        <v>105.5946</v>
      </c>
      <c r="I23" s="361">
        <v>103.18980000000001</v>
      </c>
      <c r="J23" s="729">
        <v>106.5313</v>
      </c>
      <c r="L23" s="388"/>
      <c r="M23" s="387"/>
      <c r="N23" s="387"/>
      <c r="O23" s="147"/>
      <c r="P23" s="147"/>
      <c r="Q23" s="147"/>
      <c r="R23" s="147"/>
      <c r="S23" s="147"/>
      <c r="T23" s="147"/>
      <c r="U23" s="147"/>
      <c r="V23" s="147"/>
      <c r="W23" s="147"/>
    </row>
    <row r="24" spans="1:68" s="16" customFormat="1" ht="16.5" customHeight="1" x14ac:dyDescent="0.2">
      <c r="A24" s="422" t="s">
        <v>319</v>
      </c>
      <c r="B24" s="278">
        <v>100</v>
      </c>
      <c r="C24" s="76">
        <v>88.450239999999994</v>
      </c>
      <c r="D24" s="361">
        <v>88.973709999999997</v>
      </c>
      <c r="E24" s="361">
        <v>87.886610000000005</v>
      </c>
      <c r="F24" s="362">
        <v>88.490409999999997</v>
      </c>
      <c r="G24" s="76">
        <v>88.404240000000001</v>
      </c>
      <c r="H24" s="279">
        <v>88.404240000000001</v>
      </c>
      <c r="I24" s="361">
        <v>92.028139999999993</v>
      </c>
      <c r="J24" s="729">
        <v>90.626059999999995</v>
      </c>
      <c r="L24" s="388"/>
      <c r="M24" s="387"/>
      <c r="N24" s="387"/>
      <c r="O24" s="147"/>
      <c r="P24" s="147"/>
      <c r="Q24" s="147"/>
      <c r="R24" s="147"/>
      <c r="S24" s="147"/>
      <c r="T24" s="147"/>
      <c r="U24" s="147"/>
      <c r="V24" s="147"/>
      <c r="W24" s="147"/>
    </row>
    <row r="25" spans="1:68" s="16" customFormat="1" ht="16.5" customHeight="1" x14ac:dyDescent="0.2">
      <c r="A25" s="422" t="s">
        <v>305</v>
      </c>
      <c r="B25" s="278">
        <v>100</v>
      </c>
      <c r="C25" s="76">
        <v>102.0938</v>
      </c>
      <c r="D25" s="361">
        <v>97.892970000000005</v>
      </c>
      <c r="E25" s="361">
        <v>104.3798</v>
      </c>
      <c r="F25" s="362">
        <v>104.0086</v>
      </c>
      <c r="G25" s="76">
        <v>96.728049999999996</v>
      </c>
      <c r="H25" s="279">
        <v>96.728049999999996</v>
      </c>
      <c r="I25" s="361">
        <v>97.64622</v>
      </c>
      <c r="J25" s="729">
        <v>98.836309999999997</v>
      </c>
      <c r="L25" s="388"/>
      <c r="M25" s="387"/>
      <c r="N25" s="387"/>
      <c r="O25" s="147"/>
      <c r="P25" s="147"/>
      <c r="Q25" s="147"/>
      <c r="R25" s="147"/>
      <c r="S25" s="147"/>
      <c r="T25" s="147"/>
      <c r="U25" s="147"/>
      <c r="V25" s="147"/>
      <c r="W25" s="147"/>
    </row>
    <row r="26" spans="1:68" s="16" customFormat="1" ht="16.5" customHeight="1" x14ac:dyDescent="0.2">
      <c r="A26" s="422" t="s">
        <v>306</v>
      </c>
      <c r="B26" s="280">
        <v>100</v>
      </c>
      <c r="C26" s="142">
        <v>96.912890000000004</v>
      </c>
      <c r="D26" s="364">
        <v>93.116410000000002</v>
      </c>
      <c r="E26" s="364">
        <v>96.406959999999998</v>
      </c>
      <c r="F26" s="363">
        <v>101.2153</v>
      </c>
      <c r="G26" s="142">
        <v>92.626159999999999</v>
      </c>
      <c r="H26" s="281">
        <v>92.626159999999999</v>
      </c>
      <c r="I26" s="364">
        <v>93.685559999999995</v>
      </c>
      <c r="J26" s="729">
        <v>95.424199999999999</v>
      </c>
      <c r="L26" s="388"/>
      <c r="M26" s="387"/>
      <c r="N26" s="387"/>
      <c r="O26" s="147"/>
      <c r="P26" s="147"/>
      <c r="Q26" s="147"/>
      <c r="R26" s="147"/>
      <c r="S26" s="147"/>
      <c r="T26" s="147"/>
      <c r="U26" s="147"/>
      <c r="V26" s="147"/>
      <c r="W26" s="147"/>
    </row>
    <row r="27" spans="1:68" s="121" customFormat="1" ht="16.5" customHeight="1" x14ac:dyDescent="0.2">
      <c r="A27" s="285" t="s">
        <v>23</v>
      </c>
      <c r="B27" s="779"/>
      <c r="C27" s="780"/>
      <c r="D27" s="781"/>
      <c r="E27" s="772"/>
      <c r="F27" s="772"/>
      <c r="G27" s="780"/>
      <c r="H27" s="772"/>
      <c r="I27" s="772"/>
      <c r="J27" s="778"/>
      <c r="K27" s="16"/>
      <c r="L27" s="388"/>
      <c r="M27" s="395"/>
      <c r="N27" s="395"/>
      <c r="O27" s="396"/>
      <c r="P27" s="396"/>
      <c r="Q27" s="396"/>
      <c r="R27" s="147"/>
      <c r="S27" s="147"/>
      <c r="T27" s="147"/>
      <c r="U27" s="147"/>
      <c r="V27" s="147"/>
      <c r="W27" s="147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</row>
    <row r="28" spans="1:68" s="16" customFormat="1" ht="16.5" customHeight="1" x14ac:dyDescent="0.2">
      <c r="A28" s="450" t="s">
        <v>300</v>
      </c>
      <c r="B28" s="267">
        <v>100</v>
      </c>
      <c r="C28" s="286">
        <v>90.235709999999997</v>
      </c>
      <c r="D28" s="365">
        <v>93.509569999999997</v>
      </c>
      <c r="E28" s="365">
        <v>90.792079999999999</v>
      </c>
      <c r="F28" s="722">
        <v>86.405479999999997</v>
      </c>
      <c r="G28" s="286">
        <v>86.790800000000004</v>
      </c>
      <c r="H28" s="338">
        <v>86.790800000000004</v>
      </c>
      <c r="I28" s="365">
        <v>80.65795</v>
      </c>
      <c r="J28" s="734">
        <v>93.745689999999996</v>
      </c>
      <c r="L28" s="390"/>
      <c r="M28" s="395"/>
      <c r="N28" s="387"/>
      <c r="O28" s="147"/>
      <c r="P28" s="147"/>
      <c r="Q28" s="147"/>
      <c r="R28" s="147"/>
      <c r="S28" s="147"/>
      <c r="T28" s="147"/>
      <c r="U28" s="147"/>
      <c r="V28" s="147"/>
      <c r="W28" s="147"/>
    </row>
    <row r="29" spans="1:68" s="16" customFormat="1" ht="16.5" customHeight="1" x14ac:dyDescent="0.2">
      <c r="A29" s="471" t="s">
        <v>322</v>
      </c>
      <c r="B29" s="287">
        <f>65+6.09166621</f>
        <v>71.09166621</v>
      </c>
      <c r="C29" s="83">
        <f>65+6.471214</f>
        <v>71.471214000000003</v>
      </c>
      <c r="D29" s="271">
        <f>65+5.070594</f>
        <v>70.070594</v>
      </c>
      <c r="E29" s="271">
        <f>65+5.651633</f>
        <v>70.651633000000004</v>
      </c>
      <c r="F29" s="272">
        <f>65+8.691416</f>
        <v>73.691416000000004</v>
      </c>
      <c r="G29" s="83">
        <f>65+7.97461</f>
        <v>72.974609999999998</v>
      </c>
      <c r="H29" s="273">
        <f>65+7.97461</f>
        <v>72.974609999999998</v>
      </c>
      <c r="I29" s="271">
        <f>65+9.383874</f>
        <v>74.383874000000006</v>
      </c>
      <c r="J29" s="735">
        <f>65+9.260334</f>
        <v>74.260334</v>
      </c>
      <c r="L29" s="388"/>
      <c r="M29" s="395"/>
      <c r="N29" s="387"/>
      <c r="O29" s="147"/>
      <c r="P29" s="147"/>
      <c r="Q29" s="147"/>
      <c r="R29" s="147"/>
      <c r="S29" s="147"/>
      <c r="T29" s="147"/>
      <c r="U29" s="147"/>
      <c r="V29" s="147"/>
      <c r="W29" s="147"/>
    </row>
    <row r="30" spans="1:68" s="16" customFormat="1" ht="16.5" customHeight="1" x14ac:dyDescent="0.2">
      <c r="A30" s="422" t="s">
        <v>301</v>
      </c>
      <c r="B30" s="278">
        <v>100</v>
      </c>
      <c r="C30" s="76">
        <v>94.699709999999996</v>
      </c>
      <c r="D30" s="361">
        <v>97.129429999999999</v>
      </c>
      <c r="E30" s="361">
        <v>92.5792</v>
      </c>
      <c r="F30" s="362">
        <v>94.390500000000003</v>
      </c>
      <c r="G30" s="76">
        <v>99.889489999999995</v>
      </c>
      <c r="H30" s="279">
        <v>99.889489999999995</v>
      </c>
      <c r="I30" s="361">
        <v>100.1511</v>
      </c>
      <c r="J30" s="729">
        <v>106.43680000000001</v>
      </c>
      <c r="L30" s="388"/>
      <c r="M30" s="395"/>
      <c r="N30" s="387"/>
      <c r="O30" s="147"/>
      <c r="P30" s="147"/>
      <c r="Q30" s="147"/>
      <c r="R30" s="147"/>
      <c r="S30" s="147"/>
      <c r="T30" s="147"/>
      <c r="U30" s="147"/>
      <c r="V30" s="147"/>
      <c r="W30" s="147"/>
    </row>
    <row r="31" spans="1:68" s="290" customFormat="1" ht="16.5" customHeight="1" x14ac:dyDescent="0.2">
      <c r="A31" s="471" t="s">
        <v>323</v>
      </c>
      <c r="B31" s="287">
        <f>65+7.781876278</f>
        <v>72.781876277999999</v>
      </c>
      <c r="C31" s="83">
        <f>65+5.613768</f>
        <v>70.613767999999993</v>
      </c>
      <c r="D31" s="271">
        <f>65+4.343368</f>
        <v>69.343367999999998</v>
      </c>
      <c r="E31" s="271">
        <f>65+4.571869</f>
        <v>69.571869000000007</v>
      </c>
      <c r="F31" s="272">
        <f>65+7.926068</f>
        <v>72.926068000000001</v>
      </c>
      <c r="G31" s="83">
        <f>65+5.461633</f>
        <v>70.461633000000006</v>
      </c>
      <c r="H31" s="273">
        <f>65+5.461633</f>
        <v>70.461633000000006</v>
      </c>
      <c r="I31" s="271">
        <f>65+7.193008</f>
        <v>72.193008000000006</v>
      </c>
      <c r="J31" s="725">
        <f>65+5.065472</f>
        <v>70.065472</v>
      </c>
      <c r="K31" s="288"/>
      <c r="L31" s="388"/>
      <c r="M31" s="395"/>
      <c r="N31" s="391"/>
      <c r="O31" s="289"/>
      <c r="P31" s="289"/>
      <c r="Q31" s="289"/>
      <c r="R31" s="289"/>
      <c r="S31" s="289"/>
      <c r="T31" s="289"/>
      <c r="U31" s="289"/>
      <c r="V31" s="289"/>
      <c r="W31" s="289"/>
      <c r="X31" s="288"/>
      <c r="Y31" s="288"/>
      <c r="Z31" s="288"/>
      <c r="AA31" s="288"/>
      <c r="AB31" s="288"/>
      <c r="AC31" s="288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</row>
    <row r="32" spans="1:68" s="16" customFormat="1" ht="16.5" customHeight="1" x14ac:dyDescent="0.2">
      <c r="A32" s="422" t="s">
        <v>302</v>
      </c>
      <c r="B32" s="278">
        <v>100</v>
      </c>
      <c r="C32" s="76">
        <v>103.50060000000001</v>
      </c>
      <c r="D32" s="361">
        <v>103.0651</v>
      </c>
      <c r="E32" s="361">
        <v>101.41379999999999</v>
      </c>
      <c r="F32" s="362">
        <v>106.02290000000001</v>
      </c>
      <c r="G32" s="76">
        <v>100.64279999999999</v>
      </c>
      <c r="H32" s="279">
        <v>100.64279999999999</v>
      </c>
      <c r="I32" s="361">
        <v>101.65309999999999</v>
      </c>
      <c r="J32" s="729">
        <v>108.316</v>
      </c>
      <c r="L32" s="388"/>
      <c r="M32" s="387"/>
      <c r="N32" s="387"/>
      <c r="O32" s="147"/>
      <c r="P32" s="147"/>
      <c r="Q32" s="147"/>
      <c r="R32" s="147"/>
      <c r="S32" s="147"/>
      <c r="T32" s="147"/>
      <c r="U32" s="147"/>
      <c r="V32" s="147"/>
      <c r="W32" s="147"/>
    </row>
    <row r="33" spans="1:23" s="16" customFormat="1" ht="16.5" customHeight="1" x14ac:dyDescent="0.2">
      <c r="A33" s="425" t="s">
        <v>229</v>
      </c>
      <c r="B33" s="292">
        <v>100</v>
      </c>
      <c r="C33" s="76">
        <v>104.12739999999999</v>
      </c>
      <c r="D33" s="366">
        <v>101.4743</v>
      </c>
      <c r="E33" s="366">
        <v>102.95010000000001</v>
      </c>
      <c r="F33" s="367">
        <v>107.95780000000001</v>
      </c>
      <c r="G33" s="76">
        <v>98.749549999999999</v>
      </c>
      <c r="H33" s="293">
        <v>98.749549999999999</v>
      </c>
      <c r="I33" s="366">
        <v>100.8113</v>
      </c>
      <c r="J33" s="729">
        <v>104.374</v>
      </c>
      <c r="L33" s="388"/>
      <c r="M33" s="387"/>
      <c r="N33" s="388"/>
      <c r="O33" s="147"/>
      <c r="P33" s="147"/>
      <c r="Q33" s="147"/>
      <c r="R33" s="147"/>
      <c r="S33" s="147"/>
      <c r="T33" s="147"/>
      <c r="U33" s="147"/>
      <c r="V33" s="147"/>
      <c r="W33" s="147"/>
    </row>
    <row r="34" spans="1:23" s="16" customFormat="1" ht="16.5" customHeight="1" x14ac:dyDescent="0.2">
      <c r="A34" s="295" t="s">
        <v>14</v>
      </c>
      <c r="B34" s="746"/>
      <c r="C34" s="747"/>
      <c r="D34" s="748"/>
      <c r="E34" s="748"/>
      <c r="F34" s="748"/>
      <c r="G34" s="747"/>
      <c r="H34" s="748"/>
      <c r="I34" s="748"/>
      <c r="J34" s="749"/>
      <c r="L34" s="388"/>
      <c r="M34" s="387"/>
      <c r="N34" s="387"/>
      <c r="O34" s="147"/>
      <c r="P34" s="147"/>
      <c r="Q34" s="147"/>
      <c r="R34" s="147"/>
      <c r="S34" s="147"/>
      <c r="T34" s="147"/>
      <c r="U34" s="147"/>
      <c r="V34" s="147"/>
      <c r="W34" s="147"/>
    </row>
    <row r="35" spans="1:23" s="16" customFormat="1" ht="16.5" customHeight="1" x14ac:dyDescent="0.2">
      <c r="A35" s="303" t="s">
        <v>214</v>
      </c>
      <c r="B35" s="204">
        <v>5.7111111111111104</v>
      </c>
      <c r="C35" s="204">
        <v>5.7666666666666666</v>
      </c>
      <c r="D35" s="370">
        <v>6</v>
      </c>
      <c r="E35" s="305">
        <v>5.9</v>
      </c>
      <c r="F35" s="371">
        <v>5.4</v>
      </c>
      <c r="G35" s="204">
        <v>4.0999999999999996</v>
      </c>
      <c r="H35" s="306">
        <v>4.0999999999999996</v>
      </c>
      <c r="I35" s="305">
        <v>5.7</v>
      </c>
      <c r="J35" s="737">
        <v>6.9</v>
      </c>
      <c r="L35" s="388"/>
      <c r="M35" s="387"/>
      <c r="N35" s="387"/>
      <c r="O35" s="147"/>
      <c r="P35" s="147"/>
      <c r="Q35" s="147"/>
      <c r="R35" s="147"/>
      <c r="S35" s="147"/>
      <c r="T35" s="147"/>
      <c r="U35" s="147"/>
      <c r="V35" s="147"/>
      <c r="W35" s="147"/>
    </row>
    <row r="36" spans="1:23" s="16" customFormat="1" ht="16.5" customHeight="1" x14ac:dyDescent="0.2">
      <c r="A36" s="307" t="s">
        <v>215</v>
      </c>
      <c r="B36" s="204">
        <v>5.177777777777778</v>
      </c>
      <c r="C36" s="204">
        <v>5.833333333333333</v>
      </c>
      <c r="D36" s="372">
        <v>5.9</v>
      </c>
      <c r="E36" s="309">
        <v>5.4</v>
      </c>
      <c r="F36" s="458">
        <v>6.2</v>
      </c>
      <c r="G36" s="204">
        <v>6.7</v>
      </c>
      <c r="H36" s="273">
        <v>6.7</v>
      </c>
      <c r="I36" s="309">
        <v>6.6</v>
      </c>
      <c r="J36" s="743" t="s">
        <v>5</v>
      </c>
      <c r="L36" s="388"/>
      <c r="M36" s="387"/>
      <c r="N36" s="387"/>
      <c r="O36" s="147"/>
      <c r="P36" s="147"/>
      <c r="Q36" s="147"/>
      <c r="R36" s="147"/>
      <c r="S36" s="147"/>
      <c r="T36" s="147"/>
      <c r="U36" s="147"/>
      <c r="V36" s="147"/>
      <c r="W36" s="147"/>
    </row>
    <row r="37" spans="1:23" s="16" customFormat="1" ht="16.5" customHeight="1" x14ac:dyDescent="0.2">
      <c r="A37" s="299" t="s">
        <v>216</v>
      </c>
      <c r="B37" s="204">
        <v>6.4279999999999999</v>
      </c>
      <c r="C37" s="204">
        <v>6.2666666666666657</v>
      </c>
      <c r="D37" s="311">
        <v>5.0999999999999996</v>
      </c>
      <c r="E37" s="301">
        <v>8.1</v>
      </c>
      <c r="F37" s="330">
        <v>5.6</v>
      </c>
      <c r="G37" s="204">
        <v>4.4000000000000004</v>
      </c>
      <c r="H37" s="312">
        <v>4.4000000000000004</v>
      </c>
      <c r="I37" s="301" t="s">
        <v>277</v>
      </c>
      <c r="J37" s="738" t="s">
        <v>227</v>
      </c>
      <c r="L37" s="388"/>
      <c r="M37" s="387"/>
      <c r="N37" s="387"/>
      <c r="O37" s="147"/>
      <c r="P37" s="147"/>
      <c r="Q37" s="147"/>
      <c r="R37" s="147"/>
      <c r="S37" s="147"/>
      <c r="T37" s="147"/>
      <c r="U37" s="147"/>
      <c r="V37" s="147"/>
      <c r="W37" s="147"/>
    </row>
    <row r="38" spans="1:23" ht="11.1" customHeight="1" x14ac:dyDescent="0.2">
      <c r="A38" s="48"/>
      <c r="B38" s="764"/>
      <c r="C38" s="764"/>
      <c r="D38" s="765"/>
      <c r="E38" s="766"/>
      <c r="F38" s="766"/>
      <c r="G38" s="764"/>
      <c r="H38" s="767"/>
      <c r="I38" s="766"/>
      <c r="J38" s="768"/>
      <c r="L38" s="392"/>
    </row>
    <row r="39" spans="1:23" s="16" customFormat="1" ht="16.5" customHeight="1" x14ac:dyDescent="0.2">
      <c r="A39" s="166" t="s">
        <v>7</v>
      </c>
      <c r="B39" s="750"/>
      <c r="C39" s="751"/>
      <c r="D39" s="42">
        <v>2009</v>
      </c>
      <c r="E39" s="42">
        <v>2009</v>
      </c>
      <c r="F39" s="134">
        <v>2016</v>
      </c>
      <c r="G39" s="751"/>
      <c r="H39" s="42">
        <v>2000</v>
      </c>
      <c r="I39" s="42">
        <v>2019</v>
      </c>
      <c r="J39" s="739">
        <v>2022</v>
      </c>
      <c r="L39" s="388"/>
      <c r="M39" s="387"/>
      <c r="N39" s="387"/>
      <c r="O39" s="147"/>
      <c r="P39" s="147"/>
      <c r="Q39" s="147"/>
      <c r="R39" s="147"/>
      <c r="S39" s="147"/>
      <c r="T39" s="147"/>
      <c r="U39" s="147"/>
      <c r="V39" s="147"/>
      <c r="W39" s="147"/>
    </row>
    <row r="40" spans="1:23" s="16" customFormat="1" ht="16.5" customHeight="1" x14ac:dyDescent="0.2">
      <c r="A40" s="1215" t="s">
        <v>354</v>
      </c>
      <c r="B40" s="1216"/>
      <c r="C40" s="1217"/>
      <c r="D40" s="1222" t="s">
        <v>365</v>
      </c>
      <c r="E40" s="1222" t="s">
        <v>382</v>
      </c>
      <c r="F40" s="1222" t="s">
        <v>382</v>
      </c>
      <c r="G40" s="751"/>
      <c r="H40" s="1222" t="s">
        <v>363</v>
      </c>
      <c r="I40" s="1222" t="s">
        <v>358</v>
      </c>
      <c r="J40" s="1222" t="s">
        <v>389</v>
      </c>
      <c r="L40" s="388"/>
      <c r="M40" s="387"/>
      <c r="N40" s="387"/>
      <c r="O40" s="147"/>
      <c r="P40" s="147"/>
      <c r="Q40" s="147"/>
      <c r="R40" s="147"/>
      <c r="S40" s="147"/>
      <c r="T40" s="147"/>
      <c r="U40" s="147"/>
      <c r="V40" s="147"/>
      <c r="W40" s="147"/>
    </row>
    <row r="41" spans="1:23" s="16" customFormat="1" ht="16.5" customHeight="1" x14ac:dyDescent="0.2">
      <c r="A41" s="1215" t="s">
        <v>355</v>
      </c>
      <c r="B41" s="1216"/>
      <c r="C41" s="1217"/>
      <c r="D41" s="1222" t="s">
        <v>359</v>
      </c>
      <c r="E41" s="1222" t="s">
        <v>367</v>
      </c>
      <c r="F41" s="1222" t="s">
        <v>367</v>
      </c>
      <c r="G41" s="751"/>
      <c r="H41" s="1222" t="s">
        <v>368</v>
      </c>
      <c r="I41" s="1222" t="s">
        <v>361</v>
      </c>
      <c r="J41" s="1222" t="s">
        <v>367</v>
      </c>
      <c r="L41" s="388"/>
      <c r="M41" s="387"/>
      <c r="N41" s="387"/>
      <c r="O41" s="147"/>
      <c r="P41" s="147"/>
      <c r="Q41" s="147"/>
      <c r="R41" s="147"/>
      <c r="S41" s="147"/>
      <c r="T41" s="147"/>
      <c r="U41" s="147"/>
      <c r="V41" s="147"/>
      <c r="W41" s="147"/>
    </row>
    <row r="42" spans="1:23" s="16" customFormat="1" ht="16.5" customHeight="1" x14ac:dyDescent="0.2">
      <c r="A42" s="317" t="s">
        <v>8</v>
      </c>
      <c r="B42" s="752"/>
      <c r="C42" s="753"/>
      <c r="D42" s="760"/>
      <c r="E42" s="761"/>
      <c r="F42" s="761"/>
      <c r="G42" s="753"/>
      <c r="H42" s="762"/>
      <c r="I42" s="761"/>
      <c r="J42" s="763"/>
      <c r="L42" s="387"/>
      <c r="M42" s="387"/>
      <c r="N42" s="387"/>
      <c r="O42" s="147"/>
      <c r="P42" s="147"/>
      <c r="Q42" s="147"/>
      <c r="R42" s="147"/>
      <c r="S42" s="147"/>
      <c r="T42" s="147"/>
      <c r="U42" s="147"/>
      <c r="V42" s="147"/>
      <c r="W42" s="147"/>
    </row>
    <row r="43" spans="1:23" s="16" customFormat="1" ht="16.5" customHeight="1" x14ac:dyDescent="0.2">
      <c r="A43" s="303" t="s">
        <v>25</v>
      </c>
      <c r="B43" s="754"/>
      <c r="C43" s="755"/>
      <c r="D43" s="319">
        <v>13</v>
      </c>
      <c r="E43" s="319">
        <v>10</v>
      </c>
      <c r="F43" s="323">
        <v>10</v>
      </c>
      <c r="G43" s="755"/>
      <c r="H43" s="318">
        <v>13</v>
      </c>
      <c r="I43" s="319">
        <v>12</v>
      </c>
      <c r="J43" s="740">
        <v>6</v>
      </c>
      <c r="L43" s="387"/>
      <c r="M43" s="387"/>
      <c r="N43" s="387"/>
      <c r="O43" s="147"/>
      <c r="P43" s="147"/>
      <c r="Q43" s="147"/>
      <c r="R43" s="147"/>
      <c r="S43" s="147"/>
      <c r="T43" s="147"/>
      <c r="U43" s="147"/>
      <c r="V43" s="147"/>
      <c r="W43" s="147"/>
    </row>
    <row r="44" spans="1:23" s="16" customFormat="1" ht="16.5" customHeight="1" x14ac:dyDescent="0.2">
      <c r="A44" s="307" t="s">
        <v>26</v>
      </c>
      <c r="B44" s="756"/>
      <c r="C44" s="757"/>
      <c r="D44" s="322">
        <v>13</v>
      </c>
      <c r="E44" s="322">
        <v>10</v>
      </c>
      <c r="F44" s="324">
        <v>10</v>
      </c>
      <c r="G44" s="757"/>
      <c r="H44" s="321">
        <v>13</v>
      </c>
      <c r="I44" s="322">
        <v>12</v>
      </c>
      <c r="J44" s="741">
        <v>6</v>
      </c>
      <c r="L44" s="387"/>
      <c r="M44" s="387"/>
      <c r="N44" s="387"/>
      <c r="O44" s="147"/>
      <c r="P44" s="147"/>
      <c r="Q44" s="147"/>
      <c r="R44" s="147"/>
      <c r="S44" s="147"/>
      <c r="T44" s="147"/>
      <c r="U44" s="147"/>
      <c r="V44" s="147"/>
      <c r="W44" s="147"/>
    </row>
    <row r="45" spans="1:23" s="16" customFormat="1" ht="16.5" customHeight="1" thickBot="1" x14ac:dyDescent="0.25">
      <c r="A45" s="325" t="s">
        <v>27</v>
      </c>
      <c r="B45" s="758"/>
      <c r="C45" s="759"/>
      <c r="D45" s="326">
        <v>15</v>
      </c>
      <c r="E45" s="326">
        <v>10</v>
      </c>
      <c r="F45" s="723">
        <v>10</v>
      </c>
      <c r="G45" s="759"/>
      <c r="H45" s="327">
        <v>15</v>
      </c>
      <c r="I45" s="326">
        <v>9</v>
      </c>
      <c r="J45" s="742">
        <v>6</v>
      </c>
      <c r="L45" s="387"/>
      <c r="M45" s="387"/>
      <c r="N45" s="387"/>
      <c r="O45" s="147"/>
      <c r="P45" s="147"/>
      <c r="Q45" s="147"/>
      <c r="R45" s="147"/>
      <c r="S45" s="147"/>
      <c r="T45" s="147"/>
      <c r="U45" s="147"/>
      <c r="V45" s="147"/>
      <c r="W45" s="147"/>
    </row>
    <row r="48" spans="1:23" x14ac:dyDescent="0.2">
      <c r="A48" s="1"/>
      <c r="B48" s="2"/>
      <c r="C48" s="2"/>
      <c r="D48" s="57"/>
      <c r="F48" s="57"/>
      <c r="G48" s="2"/>
    </row>
    <row r="49" spans="1:23" x14ac:dyDescent="0.2">
      <c r="A49" s="1"/>
      <c r="B49" s="2"/>
      <c r="C49" s="2"/>
      <c r="D49" s="57"/>
      <c r="F49" s="57"/>
      <c r="G49" s="2"/>
    </row>
    <row r="50" spans="1:23" x14ac:dyDescent="0.2">
      <c r="A50" s="1"/>
      <c r="B50" s="2"/>
      <c r="C50" s="2"/>
      <c r="E50" s="57"/>
      <c r="F50" s="57"/>
      <c r="G50" s="2"/>
    </row>
    <row r="51" spans="1:23" x14ac:dyDescent="0.2">
      <c r="A51" s="1"/>
      <c r="B51" s="2"/>
      <c r="C51" s="2"/>
      <c r="E51" s="57"/>
      <c r="F51" s="57"/>
      <c r="G51" s="2"/>
    </row>
    <row r="53" spans="1:23" s="19" customFormat="1" x14ac:dyDescent="0.2">
      <c r="A53" s="8"/>
      <c r="B53" s="60"/>
      <c r="C53" s="60"/>
      <c r="D53" s="60"/>
      <c r="E53" s="60"/>
      <c r="F53" s="60"/>
      <c r="G53" s="60"/>
      <c r="H53" s="60"/>
      <c r="I53" s="60"/>
      <c r="J53" s="60"/>
      <c r="L53" s="386"/>
      <c r="M53" s="386"/>
      <c r="N53" s="386"/>
      <c r="O53" s="29"/>
      <c r="P53" s="29"/>
      <c r="Q53" s="29"/>
      <c r="R53" s="29"/>
      <c r="S53" s="29"/>
      <c r="T53" s="29"/>
      <c r="U53" s="29"/>
      <c r="V53" s="29"/>
      <c r="W53" s="29"/>
    </row>
    <row r="54" spans="1:23" x14ac:dyDescent="0.2">
      <c r="A54" s="99"/>
    </row>
  </sheetData>
  <mergeCells count="2">
    <mergeCell ref="D3:F3"/>
    <mergeCell ref="H3:J3"/>
  </mergeCells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>
    <pageSetUpPr fitToPage="1"/>
  </sheetPr>
  <dimension ref="A1:AD52"/>
  <sheetViews>
    <sheetView zoomScale="85" zoomScaleNormal="85" workbookViewId="0">
      <selection activeCell="P29" sqref="P29"/>
    </sheetView>
  </sheetViews>
  <sheetFormatPr defaultColWidth="9.140625" defaultRowHeight="12.75" x14ac:dyDescent="0.2"/>
  <cols>
    <col min="1" max="1" width="46.42578125" customWidth="1"/>
    <col min="2" max="2" width="8.7109375" style="59" customWidth="1"/>
    <col min="3" max="3" width="9.28515625" style="59" customWidth="1"/>
    <col min="4" max="4" width="8.5703125" style="59" customWidth="1"/>
    <col min="5" max="16" width="8.5703125" style="466" customWidth="1"/>
    <col min="17" max="17" width="4.7109375" customWidth="1"/>
  </cols>
  <sheetData>
    <row r="1" spans="1:17" ht="17.25" customHeight="1" x14ac:dyDescent="0.25">
      <c r="A1" s="25" t="s">
        <v>324</v>
      </c>
      <c r="B1" s="62"/>
      <c r="C1" s="62"/>
      <c r="D1" s="4"/>
      <c r="E1" s="615"/>
      <c r="F1" s="615"/>
      <c r="G1" s="615"/>
      <c r="H1" s="615"/>
      <c r="I1" s="615"/>
      <c r="J1" s="615"/>
      <c r="K1" s="616"/>
      <c r="L1" s="615"/>
      <c r="M1" s="615"/>
      <c r="N1" s="616"/>
      <c r="O1" s="616"/>
      <c r="P1" s="616"/>
    </row>
    <row r="2" spans="1:17" ht="11.25" customHeight="1" thickBot="1" x14ac:dyDescent="0.3">
      <c r="A2" s="26"/>
      <c r="B2" s="62"/>
      <c r="C2" s="62"/>
      <c r="D2" s="4"/>
      <c r="E2" s="615"/>
      <c r="F2" s="615"/>
      <c r="G2" s="615"/>
      <c r="H2" s="615"/>
      <c r="I2" s="615"/>
      <c r="J2" s="615"/>
      <c r="K2" s="616"/>
      <c r="L2" s="615"/>
      <c r="M2" s="615"/>
      <c r="N2" s="616"/>
      <c r="O2" s="616"/>
      <c r="P2" s="616"/>
      <c r="Q2" s="3"/>
    </row>
    <row r="3" spans="1:17" ht="80.25" customHeight="1" x14ac:dyDescent="0.2">
      <c r="A3" s="32"/>
      <c r="B3" s="34" t="s">
        <v>118</v>
      </c>
      <c r="C3" s="34" t="s">
        <v>146</v>
      </c>
      <c r="D3" s="463" t="s">
        <v>55</v>
      </c>
      <c r="E3" s="463" t="s">
        <v>112</v>
      </c>
      <c r="F3" s="551" t="s">
        <v>198</v>
      </c>
      <c r="G3" s="463" t="s">
        <v>74</v>
      </c>
      <c r="H3" s="463" t="s">
        <v>75</v>
      </c>
      <c r="I3" s="463" t="s">
        <v>233</v>
      </c>
      <c r="J3" s="464" t="s">
        <v>98</v>
      </c>
      <c r="K3" s="465" t="s">
        <v>0</v>
      </c>
      <c r="L3" s="463" t="s">
        <v>205</v>
      </c>
      <c r="M3" s="464" t="s">
        <v>76</v>
      </c>
      <c r="N3" s="465" t="s">
        <v>97</v>
      </c>
      <c r="O3" s="465" t="s">
        <v>110</v>
      </c>
      <c r="P3" s="461" t="s">
        <v>65</v>
      </c>
    </row>
    <row r="4" spans="1:17" ht="29.25" customHeight="1" x14ac:dyDescent="0.2">
      <c r="A4" s="27" t="s">
        <v>24</v>
      </c>
      <c r="B4" s="787"/>
      <c r="C4" s="787"/>
      <c r="D4" s="411" t="s">
        <v>4</v>
      </c>
      <c r="E4" s="411" t="s">
        <v>1</v>
      </c>
      <c r="F4" s="411" t="s">
        <v>3</v>
      </c>
      <c r="G4" s="411" t="s">
        <v>1</v>
      </c>
      <c r="H4" s="411" t="s">
        <v>1</v>
      </c>
      <c r="I4" s="411" t="s">
        <v>2</v>
      </c>
      <c r="J4" s="411" t="s">
        <v>1</v>
      </c>
      <c r="K4" s="411" t="s">
        <v>1</v>
      </c>
      <c r="L4" s="783" t="s">
        <v>2</v>
      </c>
      <c r="M4" s="411" t="s">
        <v>1</v>
      </c>
      <c r="N4" s="411" t="s">
        <v>1</v>
      </c>
      <c r="O4" s="411" t="s">
        <v>3</v>
      </c>
      <c r="P4" s="801" t="s">
        <v>1</v>
      </c>
    </row>
    <row r="5" spans="1:17" ht="15" customHeight="1" x14ac:dyDescent="0.2">
      <c r="A5" s="33" t="s">
        <v>9</v>
      </c>
      <c r="B5" s="788"/>
      <c r="C5" s="788"/>
      <c r="D5" s="15">
        <v>142.56799999999998</v>
      </c>
      <c r="E5" s="467">
        <v>143.22899999999998</v>
      </c>
      <c r="F5" s="467">
        <v>144.28100000000001</v>
      </c>
      <c r="G5" s="467">
        <v>144.64400000000001</v>
      </c>
      <c r="H5" s="467">
        <v>144.923</v>
      </c>
      <c r="I5" s="467">
        <v>144.95999999999998</v>
      </c>
      <c r="J5" s="467">
        <v>147.33100000000002</v>
      </c>
      <c r="K5" s="467">
        <v>148.59699999999998</v>
      </c>
      <c r="L5" s="467">
        <v>148.78199999999998</v>
      </c>
      <c r="M5" s="467">
        <v>148.98500000000001</v>
      </c>
      <c r="N5" s="467">
        <v>149.458</v>
      </c>
      <c r="O5" s="467">
        <v>150.34100000000001</v>
      </c>
      <c r="P5" s="531">
        <v>150.65600000000001</v>
      </c>
    </row>
    <row r="6" spans="1:17" s="16" customFormat="1" ht="17.25" customHeight="1" x14ac:dyDescent="0.2">
      <c r="A6" s="150" t="s">
        <v>11</v>
      </c>
      <c r="B6" s="789"/>
      <c r="C6" s="789"/>
      <c r="D6" s="790"/>
      <c r="E6" s="791"/>
      <c r="F6" s="791"/>
      <c r="G6" s="791"/>
      <c r="H6" s="791"/>
      <c r="I6" s="791"/>
      <c r="J6" s="791"/>
      <c r="K6" s="791"/>
      <c r="L6" s="791"/>
      <c r="M6" s="791"/>
      <c r="N6" s="791"/>
      <c r="O6" s="791"/>
      <c r="P6" s="802"/>
    </row>
    <row r="7" spans="1:17" s="16" customFormat="1" ht="17.25" customHeight="1" x14ac:dyDescent="0.2">
      <c r="A7" s="266" t="s">
        <v>289</v>
      </c>
      <c r="B7" s="267">
        <v>100</v>
      </c>
      <c r="C7" s="73">
        <v>102.50364598272022</v>
      </c>
      <c r="D7" s="268">
        <v>100.09382537755737</v>
      </c>
      <c r="E7" s="470">
        <v>106.90949239654877</v>
      </c>
      <c r="F7" s="470">
        <v>98.434467548183477</v>
      </c>
      <c r="G7" s="470">
        <v>102.47399722657846</v>
      </c>
      <c r="H7" s="470">
        <v>101.04462895712714</v>
      </c>
      <c r="I7" s="470">
        <v>104.62593891897187</v>
      </c>
      <c r="J7" s="470">
        <v>105.26927158140757</v>
      </c>
      <c r="K7" s="470">
        <v>103.56792141144595</v>
      </c>
      <c r="L7" s="470">
        <v>102.37336163501284</v>
      </c>
      <c r="M7" s="470">
        <v>99.995244450260259</v>
      </c>
      <c r="N7" s="470">
        <v>101.08945249731075</v>
      </c>
      <c r="O7" s="470">
        <v>104.43389456588433</v>
      </c>
      <c r="P7" s="803">
        <v>104.08500575491142</v>
      </c>
    </row>
    <row r="8" spans="1:17" s="16" customFormat="1" ht="17.25" customHeight="1" x14ac:dyDescent="0.2">
      <c r="A8" s="471" t="s">
        <v>321</v>
      </c>
      <c r="B8" s="270">
        <f>65+11.4268459223005</f>
        <v>76.426845922300501</v>
      </c>
      <c r="C8" s="83">
        <f>65+11.9130129316173</f>
        <v>76.913012931617303</v>
      </c>
      <c r="D8" s="271">
        <f>65+9.47227141361248</f>
        <v>74.472271413612475</v>
      </c>
      <c r="E8" s="474">
        <f>65+11.6331181029592</f>
        <v>76.633118102959202</v>
      </c>
      <c r="F8" s="474">
        <f>65+11.3907810948524</f>
        <v>76.3907810948524</v>
      </c>
      <c r="G8" s="474">
        <f>65+11.5167948904</f>
        <v>76.516794890400007</v>
      </c>
      <c r="H8" s="474">
        <f>65+10.5274063997154</f>
        <v>75.527406399715403</v>
      </c>
      <c r="I8" s="474">
        <f>65+11.8044365426714</f>
        <v>76.804436542671397</v>
      </c>
      <c r="J8" s="474">
        <f>65+12.7874005968108</f>
        <v>77.787400596810798</v>
      </c>
      <c r="K8" s="474">
        <f>65+12.1203232085631</f>
        <v>77.120323208563093</v>
      </c>
      <c r="L8" s="474">
        <f>65+11.0935436605793</f>
        <v>76.0935436605793</v>
      </c>
      <c r="M8" s="474">
        <f>65+12.42152510038</f>
        <v>77.421525100379995</v>
      </c>
      <c r="N8" s="474">
        <f>65+11.9915970243476</f>
        <v>76.991597024347598</v>
      </c>
      <c r="O8" s="474">
        <f>65+10.2144201196711</f>
        <v>75.214420119671104</v>
      </c>
      <c r="P8" s="804">
        <f>65+12.0260433011043</f>
        <v>77.026043301104295</v>
      </c>
    </row>
    <row r="9" spans="1:17" s="16" customFormat="1" ht="17.25" customHeight="1" x14ac:dyDescent="0.2">
      <c r="A9" s="174" t="s">
        <v>290</v>
      </c>
      <c r="B9" s="274">
        <v>100</v>
      </c>
      <c r="C9" s="314">
        <v>102.98862065438878</v>
      </c>
      <c r="D9" s="139">
        <v>97.263008585857875</v>
      </c>
      <c r="E9" s="477">
        <v>107.28791817170152</v>
      </c>
      <c r="F9" s="477">
        <v>98.391210224456302</v>
      </c>
      <c r="G9" s="477">
        <v>102.58260732665096</v>
      </c>
      <c r="H9" s="477">
        <v>99.757093888749409</v>
      </c>
      <c r="I9" s="477">
        <v>104.9861636228194</v>
      </c>
      <c r="J9" s="477">
        <v>106.78159230387961</v>
      </c>
      <c r="K9" s="477">
        <v>104.44903590027073</v>
      </c>
      <c r="L9" s="477">
        <v>101.53472606724181</v>
      </c>
      <c r="M9" s="477">
        <v>101.12364860617248</v>
      </c>
      <c r="N9" s="477">
        <v>101.71084150448267</v>
      </c>
      <c r="O9" s="477">
        <v>102.54169395670809</v>
      </c>
      <c r="P9" s="805">
        <v>104.51552505051562</v>
      </c>
    </row>
    <row r="10" spans="1:17" s="16" customFormat="1" ht="16.5" customHeight="1" x14ac:dyDescent="0.2">
      <c r="A10" s="150" t="s">
        <v>12</v>
      </c>
      <c r="B10" s="792"/>
      <c r="C10" s="789"/>
      <c r="D10" s="793"/>
      <c r="E10" s="791"/>
      <c r="F10" s="791"/>
      <c r="G10" s="791"/>
      <c r="H10" s="791"/>
      <c r="I10" s="791"/>
      <c r="J10" s="791"/>
      <c r="K10" s="791"/>
      <c r="L10" s="791"/>
      <c r="M10" s="791"/>
      <c r="N10" s="791"/>
      <c r="O10" s="791"/>
      <c r="P10" s="802"/>
    </row>
    <row r="11" spans="1:17" s="16" customFormat="1" ht="17.25" customHeight="1" x14ac:dyDescent="0.2">
      <c r="A11" s="422" t="s">
        <v>298</v>
      </c>
      <c r="B11" s="278">
        <v>100</v>
      </c>
      <c r="C11" s="76">
        <v>101.38373213602168</v>
      </c>
      <c r="D11" s="361">
        <v>103.77495649823838</v>
      </c>
      <c r="E11" s="420">
        <v>104.01911542022562</v>
      </c>
      <c r="F11" s="420">
        <v>98.738709810112752</v>
      </c>
      <c r="G11" s="420">
        <v>102.72412780488351</v>
      </c>
      <c r="H11" s="420">
        <v>101.86593559797298</v>
      </c>
      <c r="I11" s="420">
        <v>99.427477571758075</v>
      </c>
      <c r="J11" s="420">
        <v>102.12434932563259</v>
      </c>
      <c r="K11" s="420">
        <v>100.51125364772234</v>
      </c>
      <c r="L11" s="420">
        <v>103.68329996780471</v>
      </c>
      <c r="M11" s="420">
        <v>100.38853310450753</v>
      </c>
      <c r="N11" s="420">
        <v>99.810340307557951</v>
      </c>
      <c r="O11" s="420">
        <v>100.42526594230495</v>
      </c>
      <c r="P11" s="806">
        <v>102.26158516387477</v>
      </c>
    </row>
    <row r="12" spans="1:17" s="16" customFormat="1" ht="27" customHeight="1" x14ac:dyDescent="0.2">
      <c r="A12" s="158" t="s">
        <v>299</v>
      </c>
      <c r="B12" s="135">
        <v>100</v>
      </c>
      <c r="C12" s="186">
        <v>101.05739468608817</v>
      </c>
      <c r="D12" s="139">
        <v>102.64158525023572</v>
      </c>
      <c r="E12" s="477">
        <v>101.72965196538188</v>
      </c>
      <c r="F12" s="477">
        <v>95.651158880318931</v>
      </c>
      <c r="G12" s="477">
        <v>101.98176186605863</v>
      </c>
      <c r="H12" s="477">
        <v>98.046066935056714</v>
      </c>
      <c r="I12" s="477">
        <v>96.948268791819856</v>
      </c>
      <c r="J12" s="477">
        <v>102.53556157845517</v>
      </c>
      <c r="K12" s="477">
        <v>100.75624658760975</v>
      </c>
      <c r="L12" s="477">
        <v>104.3827590743513</v>
      </c>
      <c r="M12" s="477">
        <v>100.77255795494241</v>
      </c>
      <c r="N12" s="477">
        <v>100.21881127492836</v>
      </c>
      <c r="O12" s="477">
        <v>99.725514786371036</v>
      </c>
      <c r="P12" s="805">
        <v>103.09075660556616</v>
      </c>
    </row>
    <row r="13" spans="1:17" s="16" customFormat="1" ht="17.25" customHeight="1" x14ac:dyDescent="0.2">
      <c r="A13" s="277" t="s">
        <v>293</v>
      </c>
      <c r="B13" s="278">
        <v>100</v>
      </c>
      <c r="C13" s="76">
        <v>102.696315</v>
      </c>
      <c r="D13" s="361">
        <v>106.24</v>
      </c>
      <c r="E13" s="420">
        <v>105.9812</v>
      </c>
      <c r="F13" s="420">
        <v>102.9547</v>
      </c>
      <c r="G13" s="420">
        <v>102.1711</v>
      </c>
      <c r="H13" s="420">
        <v>103.6908</v>
      </c>
      <c r="I13" s="420">
        <v>104.3126</v>
      </c>
      <c r="J13" s="420">
        <v>104.7295</v>
      </c>
      <c r="K13" s="420">
        <v>100.74420000000001</v>
      </c>
      <c r="L13" s="420">
        <v>100.13249999999999</v>
      </c>
      <c r="M13" s="420">
        <v>100.60769999999999</v>
      </c>
      <c r="N13" s="420">
        <v>102.82250000000001</v>
      </c>
      <c r="O13" s="420">
        <v>98.557249999999996</v>
      </c>
      <c r="P13" s="806">
        <v>104.1084</v>
      </c>
    </row>
    <row r="14" spans="1:17" s="16" customFormat="1" ht="17.25" customHeight="1" x14ac:dyDescent="0.2">
      <c r="A14" s="451" t="s">
        <v>297</v>
      </c>
      <c r="B14" s="280">
        <v>100</v>
      </c>
      <c r="C14" s="316">
        <v>102.24003627483231</v>
      </c>
      <c r="D14" s="364">
        <v>104.96345961515917</v>
      </c>
      <c r="E14" s="483">
        <v>104.88243263532635</v>
      </c>
      <c r="F14" s="483">
        <v>100.76238510125863</v>
      </c>
      <c r="G14" s="483">
        <v>102.46078123112945</v>
      </c>
      <c r="H14" s="483">
        <v>102.73491864655728</v>
      </c>
      <c r="I14" s="483">
        <v>101.87003878587905</v>
      </c>
      <c r="J14" s="483">
        <v>103.42692466281629</v>
      </c>
      <c r="K14" s="483">
        <v>100.6196007883166</v>
      </c>
      <c r="L14" s="483">
        <v>101.90789998390237</v>
      </c>
      <c r="M14" s="483">
        <v>100.49289829283728</v>
      </c>
      <c r="N14" s="483">
        <v>101.31642015377898</v>
      </c>
      <c r="O14" s="483">
        <v>99.841510960334659</v>
      </c>
      <c r="P14" s="807">
        <v>103.14484443332596</v>
      </c>
    </row>
    <row r="15" spans="1:17" s="16" customFormat="1" ht="17.25" customHeight="1" x14ac:dyDescent="0.2">
      <c r="A15" s="295" t="s">
        <v>13</v>
      </c>
      <c r="B15" s="794"/>
      <c r="C15" s="795"/>
      <c r="D15" s="793"/>
      <c r="E15" s="791"/>
      <c r="F15" s="791"/>
      <c r="G15" s="791"/>
      <c r="H15" s="791"/>
      <c r="I15" s="791"/>
      <c r="J15" s="791"/>
      <c r="K15" s="791"/>
      <c r="L15" s="791"/>
      <c r="M15" s="791"/>
      <c r="N15" s="791"/>
      <c r="O15" s="791"/>
      <c r="P15" s="802"/>
    </row>
    <row r="16" spans="1:17" s="16" customFormat="1" ht="17.25" customHeight="1" x14ac:dyDescent="0.2">
      <c r="A16" s="177" t="s">
        <v>89</v>
      </c>
      <c r="B16" s="280">
        <v>69.719742699999998</v>
      </c>
      <c r="C16" s="142">
        <v>70.570152570000005</v>
      </c>
      <c r="D16" s="364">
        <v>67.610700978303527</v>
      </c>
      <c r="E16" s="483">
        <v>65.528931277589052</v>
      </c>
      <c r="F16" s="483">
        <v>68.940466331027991</v>
      </c>
      <c r="G16" s="483">
        <v>68.725634360638395</v>
      </c>
      <c r="H16" s="483">
        <v>67.248907093928608</v>
      </c>
      <c r="I16" s="483">
        <v>69.142084609306892</v>
      </c>
      <c r="J16" s="483">
        <v>76.126490710047577</v>
      </c>
      <c r="K16" s="483">
        <v>68.327142423756797</v>
      </c>
      <c r="L16" s="483">
        <v>70.367144000132768</v>
      </c>
      <c r="M16" s="483">
        <v>74.08954318876998</v>
      </c>
      <c r="N16" s="483">
        <v>68.234763481209455</v>
      </c>
      <c r="O16" s="483">
        <v>67.004937824391575</v>
      </c>
      <c r="P16" s="807">
        <v>71.238586738439096</v>
      </c>
    </row>
    <row r="17" spans="1:30" s="16" customFormat="1" ht="17.25" customHeight="1" x14ac:dyDescent="0.2">
      <c r="A17" s="177" t="s">
        <v>20</v>
      </c>
      <c r="B17" s="278">
        <v>65.155071468212995</v>
      </c>
      <c r="C17" s="76">
        <v>67.109320407986289</v>
      </c>
      <c r="D17" s="368">
        <v>64.998091966746316</v>
      </c>
      <c r="E17" s="493">
        <v>62.765582613905117</v>
      </c>
      <c r="F17" s="493">
        <v>67.415456047553064</v>
      </c>
      <c r="G17" s="493">
        <v>69.060676953322158</v>
      </c>
      <c r="H17" s="493">
        <v>61.513976900037264</v>
      </c>
      <c r="I17" s="493">
        <v>65.449399612309506</v>
      </c>
      <c r="J17" s="493">
        <v>69.361515103422974</v>
      </c>
      <c r="K17" s="493">
        <v>66.15609243322578</v>
      </c>
      <c r="L17" s="493">
        <v>66.874857315092385</v>
      </c>
      <c r="M17" s="493">
        <v>69.309976964781058</v>
      </c>
      <c r="N17" s="420">
        <v>65.884878686667093</v>
      </c>
      <c r="O17" s="493">
        <v>66.340402205906699</v>
      </c>
      <c r="P17" s="808">
        <v>68.478125814447665</v>
      </c>
    </row>
    <row r="18" spans="1:30" s="127" customFormat="1" ht="17.25" customHeight="1" x14ac:dyDescent="0.2">
      <c r="A18" s="451" t="s">
        <v>90</v>
      </c>
      <c r="B18" s="539">
        <v>6.4011358781683176</v>
      </c>
      <c r="C18" s="275">
        <v>6.6136803883150179</v>
      </c>
      <c r="D18" s="374">
        <v>6.2265157388160164</v>
      </c>
      <c r="E18" s="541">
        <v>5.9023040983143291</v>
      </c>
      <c r="F18" s="541">
        <v>6.5084196702658597</v>
      </c>
      <c r="G18" s="541">
        <v>6.6123634102874975</v>
      </c>
      <c r="H18" s="541">
        <v>5.94156294973138</v>
      </c>
      <c r="I18" s="541">
        <v>6.3682259882201402</v>
      </c>
      <c r="J18" s="541">
        <v>7.2050788464745379</v>
      </c>
      <c r="K18" s="541">
        <v>6.371545225802735</v>
      </c>
      <c r="L18" s="541">
        <v>6.571785701009289</v>
      </c>
      <c r="M18" s="541">
        <v>7.0621627042690216</v>
      </c>
      <c r="N18" s="541">
        <v>6.3319885184929179</v>
      </c>
      <c r="O18" s="541">
        <v>6.2871039244696627</v>
      </c>
      <c r="P18" s="809">
        <v>6.7710610631470312</v>
      </c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</row>
    <row r="19" spans="1:30" s="16" customFormat="1" ht="17.25" customHeight="1" x14ac:dyDescent="0.2">
      <c r="A19" s="496" t="s">
        <v>213</v>
      </c>
      <c r="B19" s="300">
        <v>7.3051535259999998</v>
      </c>
      <c r="C19" s="294">
        <v>7.3946936619999999</v>
      </c>
      <c r="D19" s="301">
        <v>7.1335439999999997</v>
      </c>
      <c r="E19" s="459">
        <v>7.4213300000000002</v>
      </c>
      <c r="F19" s="459">
        <v>7.3391849999999996</v>
      </c>
      <c r="G19" s="459">
        <v>7.4441750000000004</v>
      </c>
      <c r="H19" s="459">
        <v>7.4719530000000001</v>
      </c>
      <c r="I19" s="459" t="s">
        <v>292</v>
      </c>
      <c r="J19" s="459">
        <v>7.3951320000000003</v>
      </c>
      <c r="K19" s="459">
        <v>7.3256790000000001</v>
      </c>
      <c r="L19" s="459" t="s">
        <v>277</v>
      </c>
      <c r="M19" s="459">
        <v>7.3608419999999999</v>
      </c>
      <c r="N19" s="459">
        <v>7.3117989999999997</v>
      </c>
      <c r="O19" s="459">
        <v>7.3907870000000004</v>
      </c>
      <c r="P19" s="810">
        <v>7.4532759999999998</v>
      </c>
    </row>
    <row r="20" spans="1:30" s="16" customFormat="1" ht="17.25" customHeight="1" x14ac:dyDescent="0.2">
      <c r="A20" s="276" t="s">
        <v>10</v>
      </c>
      <c r="B20" s="796"/>
      <c r="C20" s="797"/>
      <c r="D20" s="790"/>
      <c r="E20" s="791"/>
      <c r="F20" s="791"/>
      <c r="G20" s="791"/>
      <c r="H20" s="791"/>
      <c r="I20" s="791"/>
      <c r="J20" s="791"/>
      <c r="K20" s="798"/>
      <c r="L20" s="791"/>
      <c r="M20" s="791"/>
      <c r="N20" s="798"/>
      <c r="O20" s="798"/>
      <c r="P20" s="811"/>
    </row>
    <row r="21" spans="1:30" s="16" customFormat="1" ht="17.25" customHeight="1" x14ac:dyDescent="0.2">
      <c r="A21" s="266" t="s">
        <v>303</v>
      </c>
      <c r="B21" s="267">
        <v>100</v>
      </c>
      <c r="C21" s="315">
        <v>107.2137</v>
      </c>
      <c r="D21" s="784">
        <v>103.55329999999999</v>
      </c>
      <c r="E21" s="785">
        <v>113.285</v>
      </c>
      <c r="F21" s="785">
        <v>104.2364</v>
      </c>
      <c r="G21" s="785">
        <v>105.8377</v>
      </c>
      <c r="H21" s="785">
        <v>119.0937</v>
      </c>
      <c r="I21" s="785">
        <v>98.525450000000006</v>
      </c>
      <c r="J21" s="785">
        <v>109.28189999999999</v>
      </c>
      <c r="K21" s="785">
        <v>100.1037</v>
      </c>
      <c r="L21" s="785">
        <v>95.983289999999997</v>
      </c>
      <c r="M21" s="785">
        <v>103.1435</v>
      </c>
      <c r="N21" s="785">
        <v>107.102</v>
      </c>
      <c r="O21" s="785">
        <v>112.4093</v>
      </c>
      <c r="P21" s="812">
        <v>105.9333</v>
      </c>
    </row>
    <row r="22" spans="1:30" s="16" customFormat="1" ht="17.25" customHeight="1" x14ac:dyDescent="0.2">
      <c r="A22" s="277" t="s">
        <v>304</v>
      </c>
      <c r="B22" s="278">
        <v>100</v>
      </c>
      <c r="C22" s="76">
        <v>107.5517</v>
      </c>
      <c r="D22" s="361">
        <v>106.3464</v>
      </c>
      <c r="E22" s="420">
        <v>113.4265</v>
      </c>
      <c r="F22" s="420">
        <v>107.0308</v>
      </c>
      <c r="G22" s="420">
        <v>107.1414</v>
      </c>
      <c r="H22" s="420">
        <v>111.929</v>
      </c>
      <c r="I22" s="420">
        <v>103.7158</v>
      </c>
      <c r="J22" s="420">
        <v>111.7654</v>
      </c>
      <c r="K22" s="420">
        <v>104.5622</v>
      </c>
      <c r="L22" s="420">
        <v>100.4462</v>
      </c>
      <c r="M22" s="420">
        <v>103.8604</v>
      </c>
      <c r="N22" s="420">
        <v>107.1497</v>
      </c>
      <c r="O22" s="420">
        <v>110.5057</v>
      </c>
      <c r="P22" s="806">
        <v>106.45350000000001</v>
      </c>
    </row>
    <row r="23" spans="1:30" s="16" customFormat="1" ht="17.25" customHeight="1" x14ac:dyDescent="0.2">
      <c r="A23" s="422" t="s">
        <v>319</v>
      </c>
      <c r="B23" s="278">
        <v>100</v>
      </c>
      <c r="C23" s="76">
        <v>99.007779999999997</v>
      </c>
      <c r="D23" s="361">
        <v>98.350430000000003</v>
      </c>
      <c r="E23" s="420">
        <v>101.2602</v>
      </c>
      <c r="F23" s="420">
        <v>93.92944</v>
      </c>
      <c r="G23" s="420">
        <v>98.225620000000006</v>
      </c>
      <c r="H23" s="420">
        <v>95.043890000000005</v>
      </c>
      <c r="I23" s="420">
        <v>99.673540000000003</v>
      </c>
      <c r="J23" s="420">
        <v>101.86190000000001</v>
      </c>
      <c r="K23" s="420">
        <v>100.65519999999999</v>
      </c>
      <c r="L23" s="420">
        <v>103.8901</v>
      </c>
      <c r="M23" s="420">
        <v>98.741510000000005</v>
      </c>
      <c r="N23" s="420">
        <v>98.533569999999997</v>
      </c>
      <c r="O23" s="420">
        <v>102.8368</v>
      </c>
      <c r="P23" s="806">
        <v>99.992720000000006</v>
      </c>
    </row>
    <row r="24" spans="1:30" s="16" customFormat="1" ht="17.25" customHeight="1" x14ac:dyDescent="0.2">
      <c r="A24" s="277" t="s">
        <v>305</v>
      </c>
      <c r="B24" s="278">
        <v>100</v>
      </c>
      <c r="C24" s="76">
        <v>101.4753</v>
      </c>
      <c r="D24" s="361">
        <v>97.1631</v>
      </c>
      <c r="E24" s="420">
        <v>109.3282</v>
      </c>
      <c r="F24" s="420">
        <v>95.252420000000001</v>
      </c>
      <c r="G24" s="420">
        <v>103.2227</v>
      </c>
      <c r="H24" s="420">
        <v>98.750870000000006</v>
      </c>
      <c r="I24" s="420">
        <v>109.51430000000001</v>
      </c>
      <c r="J24" s="420">
        <v>103.8563</v>
      </c>
      <c r="K24" s="420">
        <v>104.21939999999999</v>
      </c>
      <c r="L24" s="420">
        <v>101.6866</v>
      </c>
      <c r="M24" s="420">
        <v>99.169290000000004</v>
      </c>
      <c r="N24" s="420">
        <v>96.228800000000007</v>
      </c>
      <c r="O24" s="420">
        <v>100.3553</v>
      </c>
      <c r="P24" s="806">
        <v>104.88</v>
      </c>
    </row>
    <row r="25" spans="1:30" s="16" customFormat="1" ht="17.25" customHeight="1" x14ac:dyDescent="0.2">
      <c r="A25" s="277" t="s">
        <v>306</v>
      </c>
      <c r="B25" s="280">
        <v>100</v>
      </c>
      <c r="C25" s="142">
        <v>104.97410000000001</v>
      </c>
      <c r="D25" s="364">
        <v>98.827669999999998</v>
      </c>
      <c r="E25" s="483">
        <v>106.99460000000001</v>
      </c>
      <c r="F25" s="483">
        <v>100.62949999999999</v>
      </c>
      <c r="G25" s="483">
        <v>104.7304</v>
      </c>
      <c r="H25" s="483">
        <v>101.95650000000001</v>
      </c>
      <c r="I25" s="483">
        <v>110.13249999999999</v>
      </c>
      <c r="J25" s="483">
        <v>106.087</v>
      </c>
      <c r="K25" s="483">
        <v>108.5714</v>
      </c>
      <c r="L25" s="483">
        <v>102.9693</v>
      </c>
      <c r="M25" s="483">
        <v>98.219130000000007</v>
      </c>
      <c r="N25" s="483">
        <v>105.5984</v>
      </c>
      <c r="O25" s="483">
        <v>105.0159</v>
      </c>
      <c r="P25" s="807">
        <v>109.65600000000001</v>
      </c>
    </row>
    <row r="26" spans="1:30" s="16" customFormat="1" ht="17.25" customHeight="1" x14ac:dyDescent="0.2">
      <c r="A26" s="285" t="s">
        <v>23</v>
      </c>
      <c r="B26" s="799"/>
      <c r="C26" s="800"/>
      <c r="D26" s="790"/>
      <c r="E26" s="791"/>
      <c r="F26" s="791"/>
      <c r="G26" s="791"/>
      <c r="H26" s="791"/>
      <c r="I26" s="791"/>
      <c r="J26" s="791"/>
      <c r="K26" s="791"/>
      <c r="L26" s="791"/>
      <c r="M26" s="791"/>
      <c r="N26" s="791"/>
      <c r="O26" s="791"/>
      <c r="P26" s="802"/>
    </row>
    <row r="27" spans="1:30" s="16" customFormat="1" ht="17.25" customHeight="1" x14ac:dyDescent="0.2">
      <c r="A27" s="266" t="s">
        <v>300</v>
      </c>
      <c r="B27" s="267">
        <v>100</v>
      </c>
      <c r="C27" s="73">
        <v>98.655990000000003</v>
      </c>
      <c r="D27" s="268">
        <v>107.226</v>
      </c>
      <c r="E27" s="470">
        <v>100.86669999999999</v>
      </c>
      <c r="F27" s="470">
        <v>100.02509999999999</v>
      </c>
      <c r="G27" s="470">
        <v>102.3454</v>
      </c>
      <c r="H27" s="470">
        <v>102.07250000000001</v>
      </c>
      <c r="I27" s="470">
        <v>94.39255</v>
      </c>
      <c r="J27" s="470">
        <v>98.367050000000006</v>
      </c>
      <c r="K27" s="470">
        <v>95.872559999999993</v>
      </c>
      <c r="L27" s="470">
        <v>99.251059999999995</v>
      </c>
      <c r="M27" s="470">
        <v>98.254720000000006</v>
      </c>
      <c r="N27" s="470">
        <v>94.727400000000003</v>
      </c>
      <c r="O27" s="470">
        <v>96.790009999999995</v>
      </c>
      <c r="P27" s="803">
        <v>98.952200000000005</v>
      </c>
    </row>
    <row r="28" spans="1:30" s="234" customFormat="1" ht="17.25" customHeight="1" x14ac:dyDescent="0.2">
      <c r="A28" s="471" t="s">
        <v>322</v>
      </c>
      <c r="B28" s="287">
        <f>65+6.09166621</f>
        <v>71.09166621</v>
      </c>
      <c r="C28" s="83">
        <f>65+7.029493</f>
        <v>72.029493000000002</v>
      </c>
      <c r="D28" s="271">
        <f>65+3.59535</f>
        <v>68.595349999999996</v>
      </c>
      <c r="E28" s="474">
        <f>65+6.588239</f>
        <v>71.588239000000002</v>
      </c>
      <c r="F28" s="474">
        <f>65+3.654947</f>
        <v>68.654946999999993</v>
      </c>
      <c r="G28" s="474">
        <f>65+6.219653</f>
        <v>71.219652999999994</v>
      </c>
      <c r="H28" s="474">
        <f>65+4.785565</f>
        <v>69.785565000000005</v>
      </c>
      <c r="I28" s="474">
        <f>65+6.068212</f>
        <v>71.068212000000003</v>
      </c>
      <c r="J28" s="474">
        <f>65+7.374859</f>
        <v>72.374859000000001</v>
      </c>
      <c r="K28" s="474">
        <f>65+8.209493</f>
        <v>73.209492999999995</v>
      </c>
      <c r="L28" s="474">
        <f>65+8.756152</f>
        <v>73.756152</v>
      </c>
      <c r="M28" s="474">
        <f>65+6.435565</f>
        <v>71.435564999999997</v>
      </c>
      <c r="N28" s="474">
        <f>65+8.36314</f>
        <v>73.363140000000001</v>
      </c>
      <c r="O28" s="474">
        <f>65+6.853636</f>
        <v>71.853635999999995</v>
      </c>
      <c r="P28" s="804">
        <f>65+7.818177</f>
        <v>72.818177000000006</v>
      </c>
    </row>
    <row r="29" spans="1:30" s="16" customFormat="1" ht="17.25" customHeight="1" x14ac:dyDescent="0.2">
      <c r="A29" s="277" t="s">
        <v>301</v>
      </c>
      <c r="B29" s="278">
        <v>100</v>
      </c>
      <c r="C29" s="76">
        <v>101.0753</v>
      </c>
      <c r="D29" s="361">
        <v>104.8319</v>
      </c>
      <c r="E29" s="420">
        <v>97.557519999999997</v>
      </c>
      <c r="F29" s="420">
        <v>89.950040000000001</v>
      </c>
      <c r="G29" s="420">
        <v>98.447360000000003</v>
      </c>
      <c r="H29" s="420">
        <v>89.998480000000001</v>
      </c>
      <c r="I29" s="420">
        <v>100.44199999999999</v>
      </c>
      <c r="J29" s="420">
        <v>102.6347</v>
      </c>
      <c r="K29" s="420">
        <v>104.43819999999999</v>
      </c>
      <c r="L29" s="420">
        <v>107.0933</v>
      </c>
      <c r="M29" s="420">
        <v>105.0976</v>
      </c>
      <c r="N29" s="420">
        <v>101.86369999999999</v>
      </c>
      <c r="O29" s="420">
        <v>103.7188</v>
      </c>
      <c r="P29" s="806">
        <v>105.0468</v>
      </c>
    </row>
    <row r="30" spans="1:30" s="16" customFormat="1" ht="17.25" customHeight="1" x14ac:dyDescent="0.2">
      <c r="A30" s="489" t="s">
        <v>325</v>
      </c>
      <c r="B30" s="287">
        <f>65+7.781876278</f>
        <v>72.781876277999999</v>
      </c>
      <c r="C30" s="83">
        <f>65+7.709617</f>
        <v>72.709616999999994</v>
      </c>
      <c r="D30" s="271">
        <f>65+4.04318</f>
        <v>69.043180000000007</v>
      </c>
      <c r="E30" s="474">
        <f>65+9.550773</f>
        <v>74.550772999999992</v>
      </c>
      <c r="F30" s="474">
        <f>65+8.520151</f>
        <v>73.520150999999998</v>
      </c>
      <c r="G30" s="474">
        <f>65+6.487346</f>
        <v>71.487346000000002</v>
      </c>
      <c r="H30" s="474">
        <f>65+9.227717</f>
        <v>74.227716999999998</v>
      </c>
      <c r="I30" s="474">
        <f>65+7.598958</f>
        <v>72.598957999999996</v>
      </c>
      <c r="J30" s="474">
        <f>65+9.033693</f>
        <v>74.033693</v>
      </c>
      <c r="K30" s="474">
        <f>65+6.536725</f>
        <v>71.536725000000004</v>
      </c>
      <c r="L30" s="474">
        <f>65+6.331701</f>
        <v>71.331700999999995</v>
      </c>
      <c r="M30" s="474">
        <f>65+6.745694</f>
        <v>71.745694</v>
      </c>
      <c r="N30" s="474">
        <f>65+8.474504</f>
        <v>73.474503999999996</v>
      </c>
      <c r="O30" s="474">
        <f>65+6.319624</f>
        <v>71.319624000000005</v>
      </c>
      <c r="P30" s="804">
        <f>65+7.46164</f>
        <v>72.461640000000003</v>
      </c>
    </row>
    <row r="31" spans="1:30" s="16" customFormat="1" ht="17.25" customHeight="1" x14ac:dyDescent="0.2">
      <c r="A31" s="277" t="s">
        <v>302</v>
      </c>
      <c r="B31" s="278">
        <v>100</v>
      </c>
      <c r="C31" s="76">
        <v>98.948509999999999</v>
      </c>
      <c r="D31" s="361">
        <v>92.381389999999996</v>
      </c>
      <c r="E31" s="420">
        <v>105.1007</v>
      </c>
      <c r="F31" s="420">
        <v>100.8522</v>
      </c>
      <c r="G31" s="420">
        <v>97.851240000000004</v>
      </c>
      <c r="H31" s="420">
        <v>103.66889999999999</v>
      </c>
      <c r="I31" s="420">
        <v>98.700999999999993</v>
      </c>
      <c r="J31" s="420">
        <v>101.15089999999999</v>
      </c>
      <c r="K31" s="420">
        <v>95.873040000000003</v>
      </c>
      <c r="L31" s="420">
        <v>99.961749999999995</v>
      </c>
      <c r="M31" s="420">
        <v>94.485820000000004</v>
      </c>
      <c r="N31" s="420">
        <v>102.2381</v>
      </c>
      <c r="O31" s="420">
        <v>97.569190000000006</v>
      </c>
      <c r="P31" s="806">
        <v>97.371600000000001</v>
      </c>
    </row>
    <row r="32" spans="1:30" s="16" customFormat="1" ht="17.25" customHeight="1" x14ac:dyDescent="0.2">
      <c r="A32" s="425" t="s">
        <v>229</v>
      </c>
      <c r="B32" s="292">
        <v>100</v>
      </c>
      <c r="C32" s="76">
        <v>102.77379999999999</v>
      </c>
      <c r="D32" s="361">
        <v>96.513480000000001</v>
      </c>
      <c r="E32" s="483">
        <v>110.886</v>
      </c>
      <c r="F32" s="483">
        <v>96.104150000000004</v>
      </c>
      <c r="G32" s="483">
        <v>105.7448</v>
      </c>
      <c r="H32" s="483">
        <v>106.2184</v>
      </c>
      <c r="I32" s="483">
        <v>102.961</v>
      </c>
      <c r="J32" s="487">
        <v>103.51479999999999</v>
      </c>
      <c r="K32" s="487">
        <v>103.56399999999999</v>
      </c>
      <c r="L32" s="483">
        <v>105.71559999999999</v>
      </c>
      <c r="M32" s="487">
        <v>97.609309999999994</v>
      </c>
      <c r="N32" s="487">
        <v>99.281289999999998</v>
      </c>
      <c r="O32" s="487">
        <v>100.52800000000001</v>
      </c>
      <c r="P32" s="813">
        <v>103.48399999999999</v>
      </c>
    </row>
    <row r="33" spans="1:16" s="16" customFormat="1" ht="17.25" customHeight="1" x14ac:dyDescent="0.2">
      <c r="A33" s="295" t="s">
        <v>14</v>
      </c>
      <c r="B33" s="794"/>
      <c r="C33" s="795"/>
      <c r="D33" s="819"/>
      <c r="E33" s="820"/>
      <c r="F33" s="820"/>
      <c r="G33" s="820"/>
      <c r="H33" s="820"/>
      <c r="I33" s="820"/>
      <c r="J33" s="820"/>
      <c r="K33" s="820"/>
      <c r="L33" s="820"/>
      <c r="M33" s="820"/>
      <c r="N33" s="821"/>
      <c r="O33" s="820"/>
      <c r="P33" s="822"/>
    </row>
    <row r="34" spans="1:16" s="16" customFormat="1" ht="17.25" customHeight="1" x14ac:dyDescent="0.2">
      <c r="A34" s="498" t="s">
        <v>214</v>
      </c>
      <c r="B34" s="304">
        <v>5.7111111111111104</v>
      </c>
      <c r="C34" s="204">
        <v>5.5714285714285712</v>
      </c>
      <c r="D34" s="305">
        <v>6</v>
      </c>
      <c r="E34" s="501">
        <v>5.2</v>
      </c>
      <c r="F34" s="501">
        <v>3</v>
      </c>
      <c r="G34" s="501">
        <v>5.3</v>
      </c>
      <c r="H34" s="501">
        <v>4.5999999999999996</v>
      </c>
      <c r="I34" s="503">
        <v>5.9</v>
      </c>
      <c r="J34" s="501">
        <v>6.3</v>
      </c>
      <c r="K34" s="501">
        <v>6.1</v>
      </c>
      <c r="L34" s="501">
        <v>6.1</v>
      </c>
      <c r="M34" s="501">
        <v>5</v>
      </c>
      <c r="N34" s="501">
        <v>6</v>
      </c>
      <c r="O34" s="501">
        <v>7.2</v>
      </c>
      <c r="P34" s="814">
        <v>5.7</v>
      </c>
    </row>
    <row r="35" spans="1:16" s="16" customFormat="1" ht="17.25" customHeight="1" x14ac:dyDescent="0.2">
      <c r="A35" s="504" t="s">
        <v>215</v>
      </c>
      <c r="B35" s="308">
        <v>5.177777777777778</v>
      </c>
      <c r="C35" s="204">
        <v>4.6571428571428575</v>
      </c>
      <c r="D35" s="271">
        <v>4.0999999999999996</v>
      </c>
      <c r="E35" s="474">
        <v>4.5</v>
      </c>
      <c r="F35" s="448">
        <v>5.3</v>
      </c>
      <c r="G35" s="474">
        <v>5</v>
      </c>
      <c r="H35" s="474">
        <v>5.5</v>
      </c>
      <c r="I35" s="448" t="s">
        <v>5</v>
      </c>
      <c r="J35" s="448">
        <v>4.9000000000000004</v>
      </c>
      <c r="K35" s="474">
        <v>3.5</v>
      </c>
      <c r="L35" s="448" t="s">
        <v>5</v>
      </c>
      <c r="M35" s="474">
        <v>4.4000000000000004</v>
      </c>
      <c r="N35" s="448">
        <v>4.5999999999999996</v>
      </c>
      <c r="O35" s="474">
        <v>4.3</v>
      </c>
      <c r="P35" s="804">
        <v>4.7</v>
      </c>
    </row>
    <row r="36" spans="1:16" s="16" customFormat="1" ht="17.25" customHeight="1" x14ac:dyDescent="0.2">
      <c r="A36" s="496" t="s">
        <v>216</v>
      </c>
      <c r="B36" s="310">
        <v>6.4279999999999999</v>
      </c>
      <c r="C36" s="204">
        <v>6.3857142857142852</v>
      </c>
      <c r="D36" s="301">
        <v>6.1</v>
      </c>
      <c r="E36" s="459">
        <v>6.5</v>
      </c>
      <c r="F36" s="454">
        <v>5.3</v>
      </c>
      <c r="G36" s="459">
        <v>5.3</v>
      </c>
      <c r="H36" s="459">
        <v>6.7</v>
      </c>
      <c r="I36" s="454" t="s">
        <v>291</v>
      </c>
      <c r="J36" s="454">
        <v>6.1</v>
      </c>
      <c r="K36" s="459">
        <v>6.6</v>
      </c>
      <c r="L36" s="454" t="s">
        <v>5</v>
      </c>
      <c r="M36" s="459">
        <v>5.2</v>
      </c>
      <c r="N36" s="454">
        <v>7.5</v>
      </c>
      <c r="O36" s="459">
        <v>6.5</v>
      </c>
      <c r="P36" s="810">
        <v>7.3</v>
      </c>
    </row>
    <row r="37" spans="1:16" ht="9.9499999999999993" customHeight="1" x14ac:dyDescent="0.2">
      <c r="A37" s="823"/>
      <c r="B37" s="824"/>
      <c r="C37" s="825"/>
      <c r="D37" s="826"/>
      <c r="E37" s="827"/>
      <c r="F37" s="827"/>
      <c r="G37" s="827"/>
      <c r="H37" s="827"/>
      <c r="I37" s="827"/>
      <c r="J37" s="827"/>
      <c r="K37" s="828"/>
      <c r="L37" s="827"/>
      <c r="M37" s="827"/>
      <c r="N37" s="828"/>
      <c r="O37" s="828"/>
      <c r="P37" s="829"/>
    </row>
    <row r="38" spans="1:16" s="16" customFormat="1" ht="17.25" customHeight="1" x14ac:dyDescent="0.2">
      <c r="A38" s="166" t="s">
        <v>7</v>
      </c>
      <c r="B38" s="830"/>
      <c r="C38" s="831"/>
      <c r="D38" s="146">
        <v>2010</v>
      </c>
      <c r="E38" s="412">
        <v>2018</v>
      </c>
      <c r="F38" s="412">
        <v>2017</v>
      </c>
      <c r="G38" s="412">
        <v>2014</v>
      </c>
      <c r="H38" s="412">
        <v>2014</v>
      </c>
      <c r="I38" s="412" t="s">
        <v>5</v>
      </c>
      <c r="J38" s="412">
        <v>2016</v>
      </c>
      <c r="K38" s="508">
        <v>2008</v>
      </c>
      <c r="L38" s="412">
        <v>2022</v>
      </c>
      <c r="M38" s="412">
        <v>2014</v>
      </c>
      <c r="N38" s="412">
        <v>2016</v>
      </c>
      <c r="O38" s="412">
        <v>2018</v>
      </c>
      <c r="P38" s="815">
        <v>2011</v>
      </c>
    </row>
    <row r="39" spans="1:16" s="16" customFormat="1" ht="17.25" customHeight="1" x14ac:dyDescent="0.2">
      <c r="A39" s="1215" t="s">
        <v>354</v>
      </c>
      <c r="B39" s="1218"/>
      <c r="C39" s="1219"/>
      <c r="D39" s="1222" t="s">
        <v>356</v>
      </c>
      <c r="E39" s="1222" t="s">
        <v>382</v>
      </c>
      <c r="F39" s="1222" t="s">
        <v>381</v>
      </c>
      <c r="G39" s="1222" t="s">
        <v>356</v>
      </c>
      <c r="H39" s="1222" t="s">
        <v>382</v>
      </c>
      <c r="I39" s="1222" t="s">
        <v>381</v>
      </c>
      <c r="J39" s="1222" t="s">
        <v>363</v>
      </c>
      <c r="K39" s="1222" t="s">
        <v>363</v>
      </c>
      <c r="L39" s="1224" t="s">
        <v>356</v>
      </c>
      <c r="M39" s="1222" t="s">
        <v>363</v>
      </c>
      <c r="N39" s="1222" t="s">
        <v>382</v>
      </c>
      <c r="O39" s="1224" t="s">
        <v>356</v>
      </c>
      <c r="P39" s="1222" t="s">
        <v>363</v>
      </c>
    </row>
    <row r="40" spans="1:16" s="16" customFormat="1" ht="17.25" customHeight="1" x14ac:dyDescent="0.2">
      <c r="A40" s="1215" t="s">
        <v>355</v>
      </c>
      <c r="B40" s="1218"/>
      <c r="C40" s="1219"/>
      <c r="D40" s="1222" t="s">
        <v>359</v>
      </c>
      <c r="E40" s="1222" t="s">
        <v>367</v>
      </c>
      <c r="F40" s="1222" t="s">
        <v>360</v>
      </c>
      <c r="G40" s="1222" t="s">
        <v>359</v>
      </c>
      <c r="H40" s="1222" t="s">
        <v>367</v>
      </c>
      <c r="I40" s="1222" t="s">
        <v>360</v>
      </c>
      <c r="J40" s="1222" t="s">
        <v>368</v>
      </c>
      <c r="K40" s="1222" t="s">
        <v>368</v>
      </c>
      <c r="L40" s="1222" t="s">
        <v>366</v>
      </c>
      <c r="M40" s="1222" t="s">
        <v>368</v>
      </c>
      <c r="N40" s="1222" t="s">
        <v>367</v>
      </c>
      <c r="O40" s="1224" t="s">
        <v>359</v>
      </c>
      <c r="P40" s="1222" t="s">
        <v>368</v>
      </c>
    </row>
    <row r="41" spans="1:16" s="16" customFormat="1" ht="17.25" customHeight="1" x14ac:dyDescent="0.2">
      <c r="A41" s="317" t="s">
        <v>8</v>
      </c>
      <c r="B41" s="832"/>
      <c r="C41" s="833"/>
      <c r="D41" s="840"/>
      <c r="E41" s="841"/>
      <c r="F41" s="841"/>
      <c r="G41" s="841"/>
      <c r="H41" s="841"/>
      <c r="I41" s="841"/>
      <c r="J41" s="841"/>
      <c r="K41" s="842"/>
      <c r="L41" s="841"/>
      <c r="M41" s="841"/>
      <c r="N41" s="843"/>
      <c r="O41" s="843"/>
      <c r="P41" s="844"/>
    </row>
    <row r="42" spans="1:16" s="16" customFormat="1" ht="17.25" customHeight="1" x14ac:dyDescent="0.2">
      <c r="A42" s="303" t="s">
        <v>25</v>
      </c>
      <c r="B42" s="834"/>
      <c r="C42" s="835"/>
      <c r="D42" s="319">
        <v>29</v>
      </c>
      <c r="E42" s="558">
        <v>14</v>
      </c>
      <c r="F42" s="558">
        <v>13</v>
      </c>
      <c r="G42" s="558">
        <v>11</v>
      </c>
      <c r="H42" s="558">
        <v>11</v>
      </c>
      <c r="I42" s="558">
        <v>6</v>
      </c>
      <c r="J42" s="558">
        <v>11</v>
      </c>
      <c r="K42" s="558">
        <v>23</v>
      </c>
      <c r="L42" s="558">
        <v>6</v>
      </c>
      <c r="M42" s="558">
        <v>11</v>
      </c>
      <c r="N42" s="782">
        <v>11</v>
      </c>
      <c r="O42" s="786">
        <v>11</v>
      </c>
      <c r="P42" s="816">
        <v>12</v>
      </c>
    </row>
    <row r="43" spans="1:16" s="16" customFormat="1" ht="17.25" customHeight="1" x14ac:dyDescent="0.2">
      <c r="A43" s="307" t="s">
        <v>26</v>
      </c>
      <c r="B43" s="836"/>
      <c r="C43" s="837"/>
      <c r="D43" s="322">
        <v>30</v>
      </c>
      <c r="E43" s="559">
        <v>13</v>
      </c>
      <c r="F43" s="559">
        <v>13</v>
      </c>
      <c r="G43" s="559">
        <v>11</v>
      </c>
      <c r="H43" s="559">
        <v>11</v>
      </c>
      <c r="I43" s="559">
        <v>6</v>
      </c>
      <c r="J43" s="559">
        <v>11</v>
      </c>
      <c r="K43" s="559">
        <v>23</v>
      </c>
      <c r="L43" s="559">
        <v>6</v>
      </c>
      <c r="M43" s="559">
        <v>11</v>
      </c>
      <c r="N43" s="559">
        <v>11</v>
      </c>
      <c r="O43" s="559">
        <v>9</v>
      </c>
      <c r="P43" s="817">
        <v>12</v>
      </c>
    </row>
    <row r="44" spans="1:16" s="16" customFormat="1" ht="17.25" customHeight="1" thickBot="1" x14ac:dyDescent="0.25">
      <c r="A44" s="178" t="s">
        <v>27</v>
      </c>
      <c r="B44" s="838"/>
      <c r="C44" s="839"/>
      <c r="D44" s="358">
        <v>27</v>
      </c>
      <c r="E44" s="560">
        <v>11</v>
      </c>
      <c r="F44" s="560">
        <v>12</v>
      </c>
      <c r="G44" s="560">
        <v>10</v>
      </c>
      <c r="H44" s="560">
        <v>10</v>
      </c>
      <c r="I44" s="560">
        <v>6</v>
      </c>
      <c r="J44" s="560">
        <v>11</v>
      </c>
      <c r="K44" s="560">
        <v>20</v>
      </c>
      <c r="L44" s="560">
        <v>6</v>
      </c>
      <c r="M44" s="560">
        <v>10</v>
      </c>
      <c r="N44" s="560">
        <v>11</v>
      </c>
      <c r="O44" s="560">
        <v>5</v>
      </c>
      <c r="P44" s="818">
        <v>11</v>
      </c>
    </row>
    <row r="45" spans="1:16" x14ac:dyDescent="0.2">
      <c r="A45" s="216"/>
      <c r="B45" s="217"/>
      <c r="C45" s="217"/>
      <c r="D45" s="217"/>
      <c r="E45" s="617"/>
      <c r="F45" s="617"/>
      <c r="G45" s="617"/>
      <c r="H45" s="617"/>
      <c r="I45" s="617"/>
      <c r="J45" s="617"/>
      <c r="K45" s="617"/>
      <c r="L45" s="617"/>
      <c r="M45" s="617"/>
      <c r="N45" s="617"/>
      <c r="O45" s="617"/>
      <c r="P45" s="617"/>
    </row>
    <row r="46" spans="1:16" x14ac:dyDescent="0.2">
      <c r="E46" s="413"/>
    </row>
    <row r="47" spans="1:16" x14ac:dyDescent="0.2">
      <c r="A47" s="1"/>
      <c r="B47" s="2"/>
      <c r="C47" s="2"/>
      <c r="K47" s="8"/>
      <c r="N47" s="8"/>
      <c r="O47" s="8"/>
    </row>
    <row r="48" spans="1:16" x14ac:dyDescent="0.2">
      <c r="A48" s="1"/>
      <c r="B48" s="2"/>
      <c r="C48" s="2"/>
      <c r="K48" s="8"/>
      <c r="N48" s="8"/>
      <c r="O48" s="8"/>
    </row>
    <row r="49" spans="1:15" x14ac:dyDescent="0.2">
      <c r="A49" s="1"/>
      <c r="B49" s="2"/>
      <c r="C49" s="2"/>
      <c r="K49" s="8"/>
      <c r="N49" s="8"/>
      <c r="O49" s="8"/>
    </row>
    <row r="50" spans="1:15" x14ac:dyDescent="0.2">
      <c r="A50" s="1"/>
      <c r="B50" s="2"/>
      <c r="C50" s="2"/>
      <c r="K50" s="8"/>
      <c r="N50" s="8"/>
      <c r="O50" s="8"/>
    </row>
    <row r="52" spans="1:15" x14ac:dyDescent="0.2">
      <c r="A52" s="99"/>
    </row>
  </sheetData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5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>
    <pageSetUpPr fitToPage="1"/>
  </sheetPr>
  <dimension ref="A1:W69"/>
  <sheetViews>
    <sheetView zoomScale="70" zoomScaleNormal="70" workbookViewId="0">
      <selection activeCell="O3" sqref="O3"/>
    </sheetView>
  </sheetViews>
  <sheetFormatPr defaultColWidth="9.140625" defaultRowHeight="12.75" x14ac:dyDescent="0.2"/>
  <cols>
    <col min="1" max="1" width="44.42578125" customWidth="1"/>
    <col min="2" max="3" width="9" style="59" customWidth="1"/>
    <col min="4" max="4" width="8.140625" style="466" customWidth="1"/>
    <col min="5" max="5" width="8.42578125" style="466" customWidth="1"/>
    <col min="6" max="9" width="8.140625" style="466" customWidth="1"/>
    <col min="10" max="10" width="8.5703125" style="466" customWidth="1"/>
    <col min="11" max="11" width="8.140625" style="466" customWidth="1"/>
    <col min="12" max="12" width="8.42578125" style="466" customWidth="1"/>
    <col min="13" max="21" width="8.140625" style="466" customWidth="1"/>
    <col min="22" max="22" width="3.140625" customWidth="1"/>
  </cols>
  <sheetData>
    <row r="1" spans="1:21" ht="15" x14ac:dyDescent="0.25">
      <c r="A1" s="25" t="s">
        <v>326</v>
      </c>
      <c r="B1" s="62"/>
      <c r="C1" s="62"/>
      <c r="D1" s="616"/>
      <c r="E1" s="616"/>
      <c r="F1" s="616"/>
      <c r="G1" s="616"/>
      <c r="H1" s="616"/>
      <c r="I1" s="616"/>
      <c r="J1" s="615"/>
      <c r="K1" s="615"/>
      <c r="L1" s="616"/>
      <c r="M1" s="615"/>
      <c r="N1" s="615"/>
      <c r="O1" s="615"/>
      <c r="P1" s="615"/>
    </row>
    <row r="2" spans="1:21" ht="15.75" thickBot="1" x14ac:dyDescent="0.3">
      <c r="A2" s="25"/>
      <c r="B2" s="62"/>
      <c r="C2" s="62"/>
      <c r="D2" s="616"/>
      <c r="E2" s="615"/>
      <c r="F2" s="616"/>
      <c r="G2" s="616"/>
      <c r="H2" s="616"/>
      <c r="I2" s="616"/>
      <c r="J2" s="615"/>
      <c r="K2" s="615"/>
      <c r="L2" s="615"/>
      <c r="M2" s="615"/>
      <c r="N2" s="615"/>
      <c r="O2" s="615"/>
      <c r="P2" s="615"/>
    </row>
    <row r="3" spans="1:21" ht="92.45" customHeight="1" x14ac:dyDescent="0.2">
      <c r="A3" s="144"/>
      <c r="B3" s="34" t="s">
        <v>118</v>
      </c>
      <c r="C3" s="34" t="s">
        <v>194</v>
      </c>
      <c r="D3" s="463" t="s">
        <v>148</v>
      </c>
      <c r="E3" s="551" t="s">
        <v>192</v>
      </c>
      <c r="F3" s="464" t="s">
        <v>149</v>
      </c>
      <c r="G3" s="463" t="s">
        <v>274</v>
      </c>
      <c r="H3" s="464" t="s">
        <v>150</v>
      </c>
      <c r="I3" s="463" t="s">
        <v>204</v>
      </c>
      <c r="J3" s="463" t="s">
        <v>273</v>
      </c>
      <c r="K3" s="464" t="s">
        <v>151</v>
      </c>
      <c r="L3" s="463" t="s">
        <v>191</v>
      </c>
      <c r="M3" s="463" t="s">
        <v>152</v>
      </c>
      <c r="N3" s="464" t="s">
        <v>183</v>
      </c>
      <c r="O3" s="610" t="s">
        <v>153</v>
      </c>
      <c r="P3" s="464" t="s">
        <v>182</v>
      </c>
      <c r="Q3" s="465" t="s">
        <v>154</v>
      </c>
      <c r="R3" s="463" t="s">
        <v>156</v>
      </c>
      <c r="S3" s="464" t="s">
        <v>157</v>
      </c>
      <c r="T3" s="551" t="s">
        <v>155</v>
      </c>
      <c r="U3" s="849" t="s">
        <v>158</v>
      </c>
    </row>
    <row r="4" spans="1:21" ht="30.6" customHeight="1" x14ac:dyDescent="0.2">
      <c r="A4" s="27" t="s">
        <v>24</v>
      </c>
      <c r="B4" s="787"/>
      <c r="C4" s="787"/>
      <c r="D4" s="411" t="s">
        <v>4</v>
      </c>
      <c r="E4" s="411" t="s">
        <v>2</v>
      </c>
      <c r="F4" s="411" t="s">
        <v>1</v>
      </c>
      <c r="G4" s="411" t="s">
        <v>2</v>
      </c>
      <c r="H4" s="411" t="s">
        <v>1</v>
      </c>
      <c r="I4" s="411" t="s">
        <v>2</v>
      </c>
      <c r="J4" s="411" t="s">
        <v>2</v>
      </c>
      <c r="K4" s="411" t="s">
        <v>4</v>
      </c>
      <c r="L4" s="411" t="s">
        <v>2</v>
      </c>
      <c r="M4" s="411" t="s">
        <v>3</v>
      </c>
      <c r="N4" s="411" t="s">
        <v>2</v>
      </c>
      <c r="O4" s="411" t="s">
        <v>1</v>
      </c>
      <c r="P4" s="411" t="s">
        <v>2</v>
      </c>
      <c r="Q4" s="411" t="s">
        <v>4</v>
      </c>
      <c r="R4" s="411" t="s">
        <v>4</v>
      </c>
      <c r="S4" s="411" t="s">
        <v>2</v>
      </c>
      <c r="T4" s="552" t="s">
        <v>2</v>
      </c>
      <c r="U4" s="801" t="s">
        <v>4</v>
      </c>
    </row>
    <row r="5" spans="1:21" s="16" customFormat="1" ht="13.5" customHeight="1" x14ac:dyDescent="0.2">
      <c r="A5" s="328" t="s">
        <v>9</v>
      </c>
      <c r="B5" s="865"/>
      <c r="C5" s="865"/>
      <c r="D5" s="467">
        <v>142.04900000000001</v>
      </c>
      <c r="E5" s="467">
        <v>143.9</v>
      </c>
      <c r="F5" s="467">
        <v>143.99299999999999</v>
      </c>
      <c r="G5" s="467">
        <v>144.006</v>
      </c>
      <c r="H5" s="467">
        <v>144.36500000000001</v>
      </c>
      <c r="I5" s="467">
        <v>144.65899999999999</v>
      </c>
      <c r="J5" s="467">
        <v>145.27800000000002</v>
      </c>
      <c r="K5" s="467">
        <v>146.066</v>
      </c>
      <c r="L5" s="467">
        <v>147.441</v>
      </c>
      <c r="M5" s="467">
        <v>147.679</v>
      </c>
      <c r="N5" s="467">
        <v>148.99700000000001</v>
      </c>
      <c r="O5" s="467">
        <v>150.524</v>
      </c>
      <c r="P5" s="467">
        <v>151.05099999999999</v>
      </c>
      <c r="Q5" s="467">
        <v>151.16800000000001</v>
      </c>
      <c r="R5" s="553">
        <v>151.47199999999998</v>
      </c>
      <c r="S5" s="553">
        <v>151.49599999999998</v>
      </c>
      <c r="T5" s="553">
        <v>151.55799999999999</v>
      </c>
      <c r="U5" s="531">
        <v>152.375</v>
      </c>
    </row>
    <row r="6" spans="1:21" s="16" customFormat="1" ht="17.25" customHeight="1" x14ac:dyDescent="0.2">
      <c r="A6" s="150" t="s">
        <v>11</v>
      </c>
      <c r="B6" s="789"/>
      <c r="C6" s="789"/>
      <c r="D6" s="791"/>
      <c r="E6" s="791"/>
      <c r="F6" s="791"/>
      <c r="G6" s="791"/>
      <c r="H6" s="791"/>
      <c r="I6" s="791"/>
      <c r="J6" s="791"/>
      <c r="K6" s="791"/>
      <c r="L6" s="791"/>
      <c r="M6" s="791"/>
      <c r="N6" s="791"/>
      <c r="O6" s="791"/>
      <c r="P6" s="791"/>
      <c r="Q6" s="791"/>
      <c r="R6" s="791"/>
      <c r="S6" s="791"/>
      <c r="T6" s="791"/>
      <c r="U6" s="802"/>
    </row>
    <row r="7" spans="1:21" s="16" customFormat="1" ht="17.25" customHeight="1" x14ac:dyDescent="0.2">
      <c r="A7" s="421" t="s">
        <v>289</v>
      </c>
      <c r="B7" s="267">
        <v>100</v>
      </c>
      <c r="C7" s="73">
        <v>100.9161754497003</v>
      </c>
      <c r="D7" s="470">
        <v>102.6039397264279</v>
      </c>
      <c r="E7" s="470">
        <v>99.878747759039726</v>
      </c>
      <c r="F7" s="470">
        <v>100.0759824211837</v>
      </c>
      <c r="G7" s="470">
        <v>98.969149820676776</v>
      </c>
      <c r="H7" s="470">
        <v>99.470676206794266</v>
      </c>
      <c r="I7" s="470">
        <v>105.87459179458453</v>
      </c>
      <c r="J7" s="470">
        <v>100.96408531393527</v>
      </c>
      <c r="K7" s="470">
        <v>96.600535640619967</v>
      </c>
      <c r="L7" s="470">
        <v>104.47366115402403</v>
      </c>
      <c r="M7" s="470">
        <v>100.24160642558974</v>
      </c>
      <c r="N7" s="470">
        <v>102.4289183376077</v>
      </c>
      <c r="O7" s="470">
        <v>106.78077828307221</v>
      </c>
      <c r="P7" s="470">
        <v>100.89848371115578</v>
      </c>
      <c r="Q7" s="470">
        <v>102.17615495947324</v>
      </c>
      <c r="R7" s="852">
        <v>97.556193566659232</v>
      </c>
      <c r="S7" s="852">
        <v>97.448119944421393</v>
      </c>
      <c r="T7" s="852">
        <v>96.565293832543318</v>
      </c>
      <c r="U7" s="803">
        <v>97.749502984291539</v>
      </c>
    </row>
    <row r="8" spans="1:21" s="16" customFormat="1" ht="17.25" customHeight="1" x14ac:dyDescent="0.2">
      <c r="A8" s="471" t="s">
        <v>327</v>
      </c>
      <c r="B8" s="270">
        <f>65+11.4268459223005</f>
        <v>76.426845922300501</v>
      </c>
      <c r="C8" s="83">
        <f>65+11.7292985287699</f>
        <v>76.729298528769903</v>
      </c>
      <c r="D8" s="474">
        <f>65+11.5043104824414</f>
        <v>76.504310482441397</v>
      </c>
      <c r="E8" s="474">
        <f>65+13.4963706190724</f>
        <v>78.496370619072394</v>
      </c>
      <c r="F8" s="474">
        <f>65+11.5478901214851</f>
        <v>76.547890121485096</v>
      </c>
      <c r="G8" s="474">
        <f>65+12.1897039524058</f>
        <v>77.189703952405807</v>
      </c>
      <c r="H8" s="474">
        <f>65+11.2428753306455</f>
        <v>76.242875330645504</v>
      </c>
      <c r="I8" s="474">
        <f>65+11.575210327246</f>
        <v>76.575210327245998</v>
      </c>
      <c r="J8" s="474">
        <f>65+11.5577698760048</f>
        <v>76.557769876004798</v>
      </c>
      <c r="K8" s="474">
        <f>65+12.1098777346059</f>
        <v>77.109877734605902</v>
      </c>
      <c r="L8" s="474">
        <f>65+10.4363706190724</f>
        <v>75.436370619072406</v>
      </c>
      <c r="M8" s="474">
        <f>65+12.0164877751127</f>
        <v>77.016487775112694</v>
      </c>
      <c r="N8" s="474">
        <f>65+11.9161885046818</f>
        <v>76.916188504681799</v>
      </c>
      <c r="O8" s="474">
        <f>65+13.64971579106</f>
        <v>78.649715791060004</v>
      </c>
      <c r="P8" s="474">
        <f>65+10.7139662824596</f>
        <v>75.713966282459594</v>
      </c>
      <c r="Q8" s="474">
        <f>65+11.7924132223439</f>
        <v>76.792413222343896</v>
      </c>
      <c r="R8" s="853">
        <f>65+9.77410111371765</f>
        <v>74.774101113717649</v>
      </c>
      <c r="S8" s="853">
        <f>65+11.6270042583116</f>
        <v>76.627004258311601</v>
      </c>
      <c r="T8" s="853">
        <f>65+10.3818296723629</f>
        <v>75.381829672362898</v>
      </c>
      <c r="U8" s="804">
        <f>65+12.5937836396955</f>
        <v>77.593783639695502</v>
      </c>
    </row>
    <row r="9" spans="1:21" s="191" customFormat="1" ht="17.25" customHeight="1" x14ac:dyDescent="0.2">
      <c r="A9" s="424" t="s">
        <v>290</v>
      </c>
      <c r="B9" s="274">
        <v>100</v>
      </c>
      <c r="C9" s="186">
        <v>101.08126137751583</v>
      </c>
      <c r="D9" s="477">
        <v>102.67493116074721</v>
      </c>
      <c r="E9" s="477">
        <v>102.29562631926136</v>
      </c>
      <c r="F9" s="477">
        <v>99.802898662297295</v>
      </c>
      <c r="G9" s="477">
        <v>99.737584724946586</v>
      </c>
      <c r="H9" s="477">
        <v>99.018006305674291</v>
      </c>
      <c r="I9" s="477">
        <v>105.74946019237395</v>
      </c>
      <c r="J9" s="477">
        <v>100.7871780851781</v>
      </c>
      <c r="K9" s="477">
        <v>97.004966746742753</v>
      </c>
      <c r="L9" s="477">
        <v>102.85815997711353</v>
      </c>
      <c r="M9" s="477">
        <v>100.7320676741486</v>
      </c>
      <c r="N9" s="477">
        <v>103.07003768410321</v>
      </c>
      <c r="O9" s="477">
        <v>109.36669633877608</v>
      </c>
      <c r="P9" s="477">
        <v>100.0686807110729</v>
      </c>
      <c r="Q9" s="477">
        <v>102.47814597873379</v>
      </c>
      <c r="R9" s="854">
        <v>95.384556140806879</v>
      </c>
      <c r="S9" s="854">
        <v>97.289757719587143</v>
      </c>
      <c r="T9" s="854">
        <v>95.162398904822851</v>
      </c>
      <c r="U9" s="805">
        <v>98.843595055575207</v>
      </c>
    </row>
    <row r="10" spans="1:21" s="16" customFormat="1" ht="17.25" customHeight="1" x14ac:dyDescent="0.2">
      <c r="A10" s="150" t="s">
        <v>12</v>
      </c>
      <c r="B10" s="792"/>
      <c r="C10" s="789"/>
      <c r="D10" s="791"/>
      <c r="E10" s="791"/>
      <c r="F10" s="791"/>
      <c r="G10" s="791"/>
      <c r="H10" s="791"/>
      <c r="I10" s="791"/>
      <c r="J10" s="791"/>
      <c r="K10" s="791"/>
      <c r="L10" s="791"/>
      <c r="M10" s="791"/>
      <c r="N10" s="791"/>
      <c r="O10" s="791"/>
      <c r="P10" s="791"/>
      <c r="Q10" s="791"/>
      <c r="R10" s="791"/>
      <c r="S10" s="791"/>
      <c r="T10" s="791"/>
      <c r="U10" s="802"/>
    </row>
    <row r="11" spans="1:21" s="16" customFormat="1" ht="17.25" customHeight="1" x14ac:dyDescent="0.2">
      <c r="A11" s="422" t="s">
        <v>298</v>
      </c>
      <c r="B11" s="278">
        <v>100</v>
      </c>
      <c r="C11" s="76">
        <v>103.50116159982871</v>
      </c>
      <c r="D11" s="420">
        <v>105.72067805282228</v>
      </c>
      <c r="E11" s="420">
        <v>101.6289811069247</v>
      </c>
      <c r="F11" s="420">
        <v>106.78316282039437</v>
      </c>
      <c r="G11" s="420">
        <v>105.46004026292823</v>
      </c>
      <c r="H11" s="420">
        <v>101.33307389929958</v>
      </c>
      <c r="I11" s="420">
        <v>105.64757245998833</v>
      </c>
      <c r="J11" s="420">
        <v>108.22910759048322</v>
      </c>
      <c r="K11" s="420">
        <v>102.02017934646675</v>
      </c>
      <c r="L11" s="420">
        <v>103.80481834949121</v>
      </c>
      <c r="M11" s="420">
        <v>99.898941945562626</v>
      </c>
      <c r="N11" s="420">
        <v>101.56807467250609</v>
      </c>
      <c r="O11" s="420">
        <v>105.33523153642955</v>
      </c>
      <c r="P11" s="420">
        <v>101.6977993411882</v>
      </c>
      <c r="Q11" s="420">
        <v>102.04285257312696</v>
      </c>
      <c r="R11" s="855">
        <v>104.3842321890085</v>
      </c>
      <c r="S11" s="855">
        <v>101.09051854227449</v>
      </c>
      <c r="T11" s="855">
        <v>103.81634266494086</v>
      </c>
      <c r="U11" s="806">
        <v>98.908900127719633</v>
      </c>
    </row>
    <row r="12" spans="1:21" s="16" customFormat="1" ht="27" customHeight="1" x14ac:dyDescent="0.2">
      <c r="A12" s="158" t="s">
        <v>299</v>
      </c>
      <c r="B12" s="135">
        <v>100</v>
      </c>
      <c r="C12" s="186">
        <v>104.8468067437708</v>
      </c>
      <c r="D12" s="477">
        <v>104.05186818221718</v>
      </c>
      <c r="E12" s="477">
        <v>103.86470619731179</v>
      </c>
      <c r="F12" s="477">
        <v>108.35949658018986</v>
      </c>
      <c r="G12" s="477">
        <v>106.00242065367398</v>
      </c>
      <c r="H12" s="477">
        <v>103.31445628232733</v>
      </c>
      <c r="I12" s="477">
        <v>105.70302636613701</v>
      </c>
      <c r="J12" s="477">
        <v>109.56378361821733</v>
      </c>
      <c r="K12" s="477">
        <v>105.46161812856823</v>
      </c>
      <c r="L12" s="477">
        <v>103.8741394933931</v>
      </c>
      <c r="M12" s="477">
        <v>100.67083475491438</v>
      </c>
      <c r="N12" s="477">
        <v>103.89529017514732</v>
      </c>
      <c r="O12" s="477">
        <v>105.33896591856077</v>
      </c>
      <c r="P12" s="477">
        <v>102.79927724383184</v>
      </c>
      <c r="Q12" s="477">
        <v>103.29196791004091</v>
      </c>
      <c r="R12" s="633">
        <v>107.50331375512116</v>
      </c>
      <c r="S12" s="854">
        <v>102.70594958462111</v>
      </c>
      <c r="T12" s="854">
        <v>107.88629646555877</v>
      </c>
      <c r="U12" s="805">
        <v>102.06757857793846</v>
      </c>
    </row>
    <row r="13" spans="1:21" s="16" customFormat="1" ht="18" customHeight="1" x14ac:dyDescent="0.2">
      <c r="A13" s="277" t="s">
        <v>293</v>
      </c>
      <c r="B13" s="278">
        <v>100</v>
      </c>
      <c r="C13" s="76">
        <v>102.62740700000001</v>
      </c>
      <c r="D13" s="420">
        <v>106.2389</v>
      </c>
      <c r="E13" s="420">
        <v>103.4306</v>
      </c>
      <c r="F13" s="420">
        <v>105.422</v>
      </c>
      <c r="G13" s="420">
        <v>106.9422</v>
      </c>
      <c r="H13" s="420">
        <v>103.9847</v>
      </c>
      <c r="I13" s="420">
        <v>105.2818</v>
      </c>
      <c r="J13" s="420">
        <v>106.1268</v>
      </c>
      <c r="K13" s="420">
        <v>99.610879999999995</v>
      </c>
      <c r="L13" s="420">
        <v>104.0942</v>
      </c>
      <c r="M13" s="483">
        <v>95.866640000000004</v>
      </c>
      <c r="N13" s="420">
        <v>100.28700000000001</v>
      </c>
      <c r="O13" s="477">
        <v>101.8329</v>
      </c>
      <c r="P13" s="477">
        <v>101.1669</v>
      </c>
      <c r="Q13" s="420">
        <v>102.221</v>
      </c>
      <c r="R13" s="855">
        <v>103.0454</v>
      </c>
      <c r="S13" s="855">
        <v>100.29600000000001</v>
      </c>
      <c r="T13" s="855">
        <v>102.4783</v>
      </c>
      <c r="U13" s="806">
        <v>95.647009999999995</v>
      </c>
    </row>
    <row r="14" spans="1:21" s="16" customFormat="1" ht="18" customHeight="1" x14ac:dyDescent="0.2">
      <c r="A14" s="451" t="s">
        <v>297</v>
      </c>
      <c r="B14" s="280">
        <v>100</v>
      </c>
      <c r="C14" s="284">
        <v>103.0979110450004</v>
      </c>
      <c r="D14" s="486">
        <v>105.96745040862122</v>
      </c>
      <c r="E14" s="486">
        <v>102.40110348967126</v>
      </c>
      <c r="F14" s="486">
        <v>106.20728624253522</v>
      </c>
      <c r="G14" s="486">
        <v>106.09525157881613</v>
      </c>
      <c r="H14" s="486">
        <v>102.60585442763579</v>
      </c>
      <c r="I14" s="486">
        <v>105.46468622999417</v>
      </c>
      <c r="J14" s="483">
        <v>107.17795379524161</v>
      </c>
      <c r="K14" s="486">
        <v>100.91591714600281</v>
      </c>
      <c r="L14" s="486">
        <v>103.92883905685211</v>
      </c>
      <c r="M14" s="486">
        <v>98.124729089515057</v>
      </c>
      <c r="N14" s="486">
        <v>101.0876716703163</v>
      </c>
      <c r="O14" s="486">
        <v>103.65411239894337</v>
      </c>
      <c r="P14" s="486">
        <v>101.49871208824263</v>
      </c>
      <c r="Q14" s="486">
        <v>102.12874508251218</v>
      </c>
      <c r="R14" s="486">
        <v>103.76630964023535</v>
      </c>
      <c r="S14" s="486">
        <v>100.71053141336061</v>
      </c>
      <c r="T14" s="486">
        <v>103.17408218576925</v>
      </c>
      <c r="U14" s="856">
        <v>97.355619114519797</v>
      </c>
    </row>
    <row r="15" spans="1:21" s="16" customFormat="1" ht="17.25" customHeight="1" x14ac:dyDescent="0.2">
      <c r="A15" s="295" t="s">
        <v>13</v>
      </c>
      <c r="B15" s="794"/>
      <c r="C15" s="795"/>
      <c r="D15" s="791"/>
      <c r="E15" s="791"/>
      <c r="F15" s="791"/>
      <c r="G15" s="791"/>
      <c r="H15" s="791"/>
      <c r="I15" s="791"/>
      <c r="J15" s="791"/>
      <c r="K15" s="791"/>
      <c r="L15" s="791"/>
      <c r="M15" s="791"/>
      <c r="N15" s="791"/>
      <c r="O15" s="791"/>
      <c r="P15" s="791"/>
      <c r="Q15" s="791"/>
      <c r="R15" s="791"/>
      <c r="S15" s="791"/>
      <c r="T15" s="791"/>
      <c r="U15" s="802"/>
    </row>
    <row r="16" spans="1:21" s="16" customFormat="1" ht="17.25" customHeight="1" x14ac:dyDescent="0.2">
      <c r="A16" s="177" t="s">
        <v>89</v>
      </c>
      <c r="B16" s="280">
        <v>69.719742699999998</v>
      </c>
      <c r="C16" s="142">
        <v>64.137141600000007</v>
      </c>
      <c r="D16" s="483">
        <v>61.328634036620187</v>
      </c>
      <c r="E16" s="483">
        <v>57.81661741846176</v>
      </c>
      <c r="F16" s="483">
        <v>66.416206030383549</v>
      </c>
      <c r="G16" s="483">
        <v>59.587450751795096</v>
      </c>
      <c r="H16" s="483">
        <v>66.642774085290114</v>
      </c>
      <c r="I16" s="483">
        <v>60.242144000132775</v>
      </c>
      <c r="J16" s="483">
        <v>65.205917942640212</v>
      </c>
      <c r="K16" s="483">
        <v>67.149134064817048</v>
      </c>
      <c r="L16" s="483">
        <v>71.549950751795095</v>
      </c>
      <c r="M16" s="483">
        <v>66.448238807069245</v>
      </c>
      <c r="N16" s="483">
        <v>64.971150904605224</v>
      </c>
      <c r="O16" s="483">
        <v>65.970312651381988</v>
      </c>
      <c r="P16" s="483">
        <v>64.883373126827422</v>
      </c>
      <c r="Q16" s="483">
        <v>62.310367554309487</v>
      </c>
      <c r="R16" s="857">
        <v>62.084472923287819</v>
      </c>
      <c r="S16" s="857">
        <v>66.783682272353701</v>
      </c>
      <c r="T16" s="857">
        <v>64.556235783508697</v>
      </c>
      <c r="U16" s="807">
        <v>64.207223911060467</v>
      </c>
    </row>
    <row r="17" spans="1:23" s="16" customFormat="1" ht="17.25" customHeight="1" x14ac:dyDescent="0.2">
      <c r="A17" s="177" t="s">
        <v>20</v>
      </c>
      <c r="B17" s="278">
        <v>65.155071468212995</v>
      </c>
      <c r="C17" s="76">
        <v>60.723910158740175</v>
      </c>
      <c r="D17" s="493">
        <v>60.664376882772252</v>
      </c>
      <c r="E17" s="493">
        <v>58.93349477386446</v>
      </c>
      <c r="F17" s="493">
        <v>62.656671305587658</v>
      </c>
      <c r="G17" s="493">
        <v>58.725161440531117</v>
      </c>
      <c r="H17" s="493">
        <v>64.053622689856738</v>
      </c>
      <c r="I17" s="493">
        <v>59.115023981759073</v>
      </c>
      <c r="J17" s="493">
        <v>61.956399612309511</v>
      </c>
      <c r="K17" s="493">
        <v>63.090141309847652</v>
      </c>
      <c r="L17" s="493">
        <v>66.377994773864444</v>
      </c>
      <c r="M17" s="493">
        <v>62.425218958290749</v>
      </c>
      <c r="N17" s="493">
        <v>65.302476597373428</v>
      </c>
      <c r="O17" s="493">
        <v>59.313206009987056</v>
      </c>
      <c r="P17" s="493">
        <v>65.633976597373433</v>
      </c>
      <c r="Q17" s="420">
        <v>59.351721630369774</v>
      </c>
      <c r="R17" s="858">
        <v>62.217263968971984</v>
      </c>
      <c r="S17" s="858">
        <v>60.538648446713488</v>
      </c>
      <c r="T17" s="858">
        <v>60.147706026069066</v>
      </c>
      <c r="U17" s="806">
        <v>56.810508623635762</v>
      </c>
    </row>
    <row r="18" spans="1:23" s="16" customFormat="1" ht="17.25" customHeight="1" x14ac:dyDescent="0.2">
      <c r="A18" s="283" t="s">
        <v>90</v>
      </c>
      <c r="B18" s="536">
        <v>6.4011358781683176</v>
      </c>
      <c r="C18" s="275">
        <v>5.6357978790823777</v>
      </c>
      <c r="D18" s="614">
        <v>5.4030925219148385</v>
      </c>
      <c r="E18" s="541">
        <v>4.9980086163706536</v>
      </c>
      <c r="F18" s="614">
        <v>5.9790448514263064</v>
      </c>
      <c r="G18" s="614">
        <v>5.1180086163706511</v>
      </c>
      <c r="H18" s="614">
        <v>6.0770371454180472</v>
      </c>
      <c r="I18" s="614">
        <v>5.1982305010092924</v>
      </c>
      <c r="J18" s="541">
        <v>5.797665988220138</v>
      </c>
      <c r="K18" s="614">
        <v>6.0475298550169283</v>
      </c>
      <c r="L18" s="541">
        <v>6.624466216370652</v>
      </c>
      <c r="M18" s="614">
        <v>5.954828883411829</v>
      </c>
      <c r="N18" s="614">
        <v>6.0315254295110394</v>
      </c>
      <c r="O18" s="614">
        <v>5.6738248647955052</v>
      </c>
      <c r="P18" s="614">
        <v>6.0438031895110393</v>
      </c>
      <c r="Q18" s="614">
        <v>5.3872076076443447</v>
      </c>
      <c r="R18" s="859">
        <v>5.5775654592332105</v>
      </c>
      <c r="S18" s="859">
        <v>5.8308079817378031</v>
      </c>
      <c r="T18" s="859">
        <v>5.6224057343904255</v>
      </c>
      <c r="U18" s="860">
        <v>5.3528127031443935</v>
      </c>
    </row>
    <row r="19" spans="1:23" s="16" customFormat="1" ht="17.25" customHeight="1" x14ac:dyDescent="0.2">
      <c r="A19" s="299" t="s">
        <v>213</v>
      </c>
      <c r="B19" s="300">
        <v>7.3051535259999998</v>
      </c>
      <c r="C19" s="294">
        <v>7.3233476389999996</v>
      </c>
      <c r="D19" s="459">
        <v>7.4349530000000001</v>
      </c>
      <c r="E19" s="459">
        <v>6.9745489999999997</v>
      </c>
      <c r="F19" s="459">
        <v>7.2657759999999998</v>
      </c>
      <c r="G19" s="459">
        <v>7.0578830000000004</v>
      </c>
      <c r="H19" s="459">
        <v>7.4141849999999998</v>
      </c>
      <c r="I19" s="459" t="s">
        <v>295</v>
      </c>
      <c r="J19" s="459" t="s">
        <v>280</v>
      </c>
      <c r="K19" s="459">
        <v>7.1912900000000004</v>
      </c>
      <c r="L19" s="459">
        <v>7.0578830000000004</v>
      </c>
      <c r="M19" s="459">
        <v>7.4213300000000002</v>
      </c>
      <c r="N19" s="459">
        <v>7.1859310000000001</v>
      </c>
      <c r="O19" s="459">
        <v>7.614185</v>
      </c>
      <c r="P19" s="459">
        <v>7.3734310000000001</v>
      </c>
      <c r="Q19" s="459">
        <v>7.302346</v>
      </c>
      <c r="R19" s="460">
        <v>7.0845580000000004</v>
      </c>
      <c r="S19" s="460">
        <v>7.3761770000000002</v>
      </c>
      <c r="T19" s="460">
        <v>7.239185</v>
      </c>
      <c r="U19" s="850">
        <v>7.1474320000000002</v>
      </c>
    </row>
    <row r="20" spans="1:23" s="16" customFormat="1" ht="17.25" customHeight="1" x14ac:dyDescent="0.2">
      <c r="A20" s="276" t="s">
        <v>10</v>
      </c>
      <c r="B20" s="796"/>
      <c r="C20" s="797"/>
      <c r="D20" s="791"/>
      <c r="E20" s="791"/>
      <c r="F20" s="791"/>
      <c r="G20" s="791"/>
      <c r="H20" s="791"/>
      <c r="I20" s="791"/>
      <c r="J20" s="791"/>
      <c r="K20" s="791"/>
      <c r="L20" s="791"/>
      <c r="M20" s="791"/>
      <c r="N20" s="791"/>
      <c r="O20" s="791"/>
      <c r="P20" s="791"/>
      <c r="Q20" s="791"/>
      <c r="R20" s="791"/>
      <c r="S20" s="798"/>
      <c r="T20" s="798"/>
      <c r="U20" s="811"/>
    </row>
    <row r="21" spans="1:23" s="16" customFormat="1" ht="17.25" customHeight="1" x14ac:dyDescent="0.2">
      <c r="A21" s="266" t="s">
        <v>303</v>
      </c>
      <c r="B21" s="267">
        <v>100</v>
      </c>
      <c r="C21" s="73">
        <v>100.52809999999999</v>
      </c>
      <c r="D21" s="470">
        <v>104.3869</v>
      </c>
      <c r="E21" s="470">
        <v>95.317989999999995</v>
      </c>
      <c r="F21" s="470">
        <v>107.4528</v>
      </c>
      <c r="G21" s="470">
        <v>107.0107</v>
      </c>
      <c r="H21" s="470">
        <v>105.1767</v>
      </c>
      <c r="I21" s="470">
        <v>111.27079999999999</v>
      </c>
      <c r="J21" s="785">
        <v>109.6553</v>
      </c>
      <c r="K21" s="470">
        <v>96.067059999999998</v>
      </c>
      <c r="L21" s="470">
        <v>95.880880000000005</v>
      </c>
      <c r="M21" s="470">
        <v>110.0868</v>
      </c>
      <c r="N21" s="470">
        <v>99.344970000000004</v>
      </c>
      <c r="O21" s="470">
        <v>108.08069999999999</v>
      </c>
      <c r="P21" s="470">
        <v>93.818430000000006</v>
      </c>
      <c r="Q21" s="470">
        <v>92.039709999999999</v>
      </c>
      <c r="R21" s="852">
        <v>96.171509999999998</v>
      </c>
      <c r="S21" s="852">
        <v>91.508700000000005</v>
      </c>
      <c r="T21" s="852">
        <v>90.445650000000001</v>
      </c>
      <c r="U21" s="803">
        <v>90.388249999999999</v>
      </c>
    </row>
    <row r="22" spans="1:23" s="16" customFormat="1" ht="17.25" customHeight="1" x14ac:dyDescent="0.2">
      <c r="A22" s="277" t="s">
        <v>304</v>
      </c>
      <c r="B22" s="278">
        <v>100</v>
      </c>
      <c r="C22" s="76">
        <v>104.396</v>
      </c>
      <c r="D22" s="420">
        <v>108.0406</v>
      </c>
      <c r="E22" s="420">
        <v>107.76300000000001</v>
      </c>
      <c r="F22" s="420">
        <v>108.16119999999999</v>
      </c>
      <c r="G22" s="420">
        <v>111.1845</v>
      </c>
      <c r="H22" s="420">
        <v>107.7882</v>
      </c>
      <c r="I22" s="420">
        <v>113.0919</v>
      </c>
      <c r="J22" s="420">
        <v>109.6356</v>
      </c>
      <c r="K22" s="420">
        <v>105.6704</v>
      </c>
      <c r="L22" s="420">
        <v>107.27209999999999</v>
      </c>
      <c r="M22" s="420">
        <v>106.8935</v>
      </c>
      <c r="N22" s="420">
        <v>105.4247</v>
      </c>
      <c r="O22" s="420">
        <v>109.2051</v>
      </c>
      <c r="P22" s="420">
        <v>98.933310000000006</v>
      </c>
      <c r="Q22" s="420">
        <v>96.851169999999996</v>
      </c>
      <c r="R22" s="855">
        <v>102.32599999999999</v>
      </c>
      <c r="S22" s="855">
        <v>95.154910000000001</v>
      </c>
      <c r="T22" s="855">
        <v>95.624960000000002</v>
      </c>
      <c r="U22" s="806">
        <v>98.399780000000007</v>
      </c>
    </row>
    <row r="23" spans="1:23" s="16" customFormat="1" ht="17.25" customHeight="1" x14ac:dyDescent="0.2">
      <c r="A23" s="422" t="s">
        <v>319</v>
      </c>
      <c r="B23" s="278">
        <v>100</v>
      </c>
      <c r="C23" s="76">
        <v>100.7831</v>
      </c>
      <c r="D23" s="420">
        <v>100.2944</v>
      </c>
      <c r="E23" s="420">
        <v>97.714889999999997</v>
      </c>
      <c r="F23" s="420">
        <v>96.851029999999994</v>
      </c>
      <c r="G23" s="420">
        <v>94.421419999999998</v>
      </c>
      <c r="H23" s="420">
        <v>97.253190000000004</v>
      </c>
      <c r="I23" s="420">
        <v>103.2227</v>
      </c>
      <c r="J23" s="420">
        <v>98.257260000000002</v>
      </c>
      <c r="K23" s="420">
        <v>97.147890000000004</v>
      </c>
      <c r="L23" s="420">
        <v>103.4376</v>
      </c>
      <c r="M23" s="420">
        <v>94.402209999999997</v>
      </c>
      <c r="N23" s="420">
        <v>104.0936</v>
      </c>
      <c r="O23" s="420">
        <v>104.807</v>
      </c>
      <c r="P23" s="420">
        <v>103.8823</v>
      </c>
      <c r="Q23" s="420">
        <v>106.0675</v>
      </c>
      <c r="R23" s="855">
        <v>100.1003</v>
      </c>
      <c r="S23" s="855">
        <v>99.917940000000002</v>
      </c>
      <c r="T23" s="855">
        <v>101.46769999999999</v>
      </c>
      <c r="U23" s="806">
        <v>100.1083</v>
      </c>
    </row>
    <row r="24" spans="1:23" s="16" customFormat="1" ht="17.25" customHeight="1" x14ac:dyDescent="0.2">
      <c r="A24" s="277" t="s">
        <v>305</v>
      </c>
      <c r="B24" s="278">
        <v>100</v>
      </c>
      <c r="C24" s="76">
        <v>98.487629999999996</v>
      </c>
      <c r="D24" s="420">
        <v>102.7433</v>
      </c>
      <c r="E24" s="420">
        <v>98.703800000000001</v>
      </c>
      <c r="F24" s="420">
        <v>97.831770000000006</v>
      </c>
      <c r="G24" s="420">
        <v>94.839219999999997</v>
      </c>
      <c r="H24" s="420">
        <v>94.660380000000004</v>
      </c>
      <c r="I24" s="420">
        <v>103.9748</v>
      </c>
      <c r="J24" s="420">
        <v>96.46772</v>
      </c>
      <c r="K24" s="420">
        <v>88.388599999999997</v>
      </c>
      <c r="L24" s="420">
        <v>103.629</v>
      </c>
      <c r="M24" s="420">
        <v>100.2152</v>
      </c>
      <c r="N24" s="420">
        <v>96.992890000000003</v>
      </c>
      <c r="O24" s="420">
        <v>106.0943</v>
      </c>
      <c r="P24" s="420">
        <v>97.085509999999999</v>
      </c>
      <c r="Q24" s="420">
        <v>102.3197</v>
      </c>
      <c r="R24" s="855">
        <v>92.059809999999999</v>
      </c>
      <c r="S24" s="855">
        <v>97.418469999999999</v>
      </c>
      <c r="T24" s="855">
        <v>90.309100000000001</v>
      </c>
      <c r="U24" s="806">
        <v>93.704139999999995</v>
      </c>
    </row>
    <row r="25" spans="1:23" s="16" customFormat="1" ht="17.25" customHeight="1" x14ac:dyDescent="0.2">
      <c r="A25" s="277" t="s">
        <v>306</v>
      </c>
      <c r="B25" s="280">
        <v>100</v>
      </c>
      <c r="C25" s="142">
        <v>99.408050000000003</v>
      </c>
      <c r="D25" s="483">
        <v>99.497320000000002</v>
      </c>
      <c r="E25" s="483">
        <v>92.798770000000005</v>
      </c>
      <c r="F25" s="483">
        <v>98.421480000000003</v>
      </c>
      <c r="G25" s="483">
        <v>96.414550000000006</v>
      </c>
      <c r="H25" s="483">
        <v>98.676950000000005</v>
      </c>
      <c r="I25" s="483">
        <v>103.5073</v>
      </c>
      <c r="J25" s="483">
        <v>100.9404</v>
      </c>
      <c r="K25" s="483">
        <v>92.836860000000001</v>
      </c>
      <c r="L25" s="483">
        <v>103.7432</v>
      </c>
      <c r="M25" s="483">
        <v>104.307</v>
      </c>
      <c r="N25" s="483">
        <v>101.76090000000001</v>
      </c>
      <c r="O25" s="483">
        <v>109.8334</v>
      </c>
      <c r="P25" s="483">
        <v>102.64100000000001</v>
      </c>
      <c r="Q25" s="483">
        <v>100.8227</v>
      </c>
      <c r="R25" s="857">
        <v>91.733189999999993</v>
      </c>
      <c r="S25" s="857">
        <v>95.170959999999994</v>
      </c>
      <c r="T25" s="857">
        <v>95.008269999999996</v>
      </c>
      <c r="U25" s="807">
        <v>96.871359999999996</v>
      </c>
    </row>
    <row r="26" spans="1:23" s="16" customFormat="1" ht="15" customHeight="1" x14ac:dyDescent="0.2">
      <c r="A26" s="285" t="s">
        <v>23</v>
      </c>
      <c r="B26" s="799"/>
      <c r="C26" s="800"/>
      <c r="D26" s="791"/>
      <c r="E26" s="791"/>
      <c r="F26" s="791"/>
      <c r="G26" s="791"/>
      <c r="H26" s="791"/>
      <c r="I26" s="791"/>
      <c r="J26" s="791"/>
      <c r="K26" s="791"/>
      <c r="L26" s="791"/>
      <c r="M26" s="791"/>
      <c r="N26" s="791"/>
      <c r="O26" s="791"/>
      <c r="P26" s="791"/>
      <c r="Q26" s="791"/>
      <c r="R26" s="791"/>
      <c r="S26" s="791"/>
      <c r="T26" s="791"/>
      <c r="U26" s="802"/>
    </row>
    <row r="27" spans="1:23" s="16" customFormat="1" ht="17.25" customHeight="1" x14ac:dyDescent="0.2">
      <c r="A27" s="266" t="s">
        <v>300</v>
      </c>
      <c r="B27" s="267">
        <v>100</v>
      </c>
      <c r="C27" s="73">
        <v>100.2834</v>
      </c>
      <c r="D27" s="470">
        <v>103.87520000000001</v>
      </c>
      <c r="E27" s="470">
        <v>98.225840000000005</v>
      </c>
      <c r="F27" s="470">
        <v>110.46720000000001</v>
      </c>
      <c r="G27" s="470">
        <v>108.22920000000001</v>
      </c>
      <c r="H27" s="470">
        <v>99.042109999999994</v>
      </c>
      <c r="I27" s="470">
        <v>103.65179999999999</v>
      </c>
      <c r="J27" s="470">
        <v>108.7972</v>
      </c>
      <c r="K27" s="470">
        <v>103.5455</v>
      </c>
      <c r="L27" s="470">
        <v>98.522149999999996</v>
      </c>
      <c r="M27" s="470">
        <v>96.575959999999995</v>
      </c>
      <c r="N27" s="470">
        <v>99.284189999999995</v>
      </c>
      <c r="O27" s="470">
        <v>98.182209999999998</v>
      </c>
      <c r="P27" s="470">
        <v>99.210800000000006</v>
      </c>
      <c r="Q27" s="470">
        <v>92.751530000000002</v>
      </c>
      <c r="R27" s="852">
        <v>101.6283</v>
      </c>
      <c r="S27" s="852">
        <v>95.804910000000007</v>
      </c>
      <c r="T27" s="852">
        <v>103.8013</v>
      </c>
      <c r="U27" s="803">
        <v>96.036869999999993</v>
      </c>
    </row>
    <row r="28" spans="1:23" s="234" customFormat="1" ht="17.25" customHeight="1" x14ac:dyDescent="0.2">
      <c r="A28" s="471" t="s">
        <v>328</v>
      </c>
      <c r="B28" s="287">
        <f>65+6.09166621</f>
        <v>71.09166621</v>
      </c>
      <c r="C28" s="83">
        <f>65+8.056346</f>
        <v>73.056346000000005</v>
      </c>
      <c r="D28" s="474">
        <f>65+5.901282</f>
        <v>70.901281999999995</v>
      </c>
      <c r="E28" s="474">
        <f>65+7.865749</f>
        <v>72.865748999999994</v>
      </c>
      <c r="F28" s="474">
        <f>65+5.712136</f>
        <v>70.712136000000001</v>
      </c>
      <c r="G28" s="474">
        <f>65+4.977178</f>
        <v>69.977177999999995</v>
      </c>
      <c r="H28" s="474">
        <f>65+8.377255</f>
        <v>73.377255000000005</v>
      </c>
      <c r="I28" s="474">
        <f>65+6.436152</f>
        <v>71.436151999999993</v>
      </c>
      <c r="J28" s="474">
        <f>65+7.728212</f>
        <v>72.728211999999999</v>
      </c>
      <c r="K28" s="474">
        <f>65+7.76707</f>
        <v>72.767070000000004</v>
      </c>
      <c r="L28" s="474">
        <f>65+6.922024</f>
        <v>71.922023999999993</v>
      </c>
      <c r="M28" s="474">
        <f>65+7.618239</f>
        <v>72.618239000000003</v>
      </c>
      <c r="N28" s="474">
        <f>65+7.803968</f>
        <v>72.803967999999998</v>
      </c>
      <c r="O28" s="474">
        <f>65+8.793408</f>
        <v>73.793407999999999</v>
      </c>
      <c r="P28" s="474">
        <f>65+7.130968</f>
        <v>72.130967999999996</v>
      </c>
      <c r="Q28" s="474">
        <f>65+9.91397</f>
        <v>74.913970000000006</v>
      </c>
      <c r="R28" s="853">
        <f>65+8.0352</f>
        <v>73.035200000000003</v>
      </c>
      <c r="S28" s="853">
        <f>65+8.438987</f>
        <v>73.438986999999997</v>
      </c>
      <c r="T28" s="853">
        <f>65+8.032364</f>
        <v>73.032364000000001</v>
      </c>
      <c r="U28" s="804">
        <f>65+9.66116</f>
        <v>74.661159999999995</v>
      </c>
    </row>
    <row r="29" spans="1:23" s="16" customFormat="1" ht="17.25" customHeight="1" x14ac:dyDescent="0.2">
      <c r="A29" s="277" t="s">
        <v>301</v>
      </c>
      <c r="B29" s="278">
        <v>100</v>
      </c>
      <c r="C29" s="76">
        <v>106.977</v>
      </c>
      <c r="D29" s="420">
        <v>102.3961</v>
      </c>
      <c r="E29" s="420">
        <v>106.87220000000001</v>
      </c>
      <c r="F29" s="420">
        <v>103.61499999999999</v>
      </c>
      <c r="G29" s="420">
        <v>101.50920000000001</v>
      </c>
      <c r="H29" s="420">
        <v>102.73050000000001</v>
      </c>
      <c r="I29" s="420">
        <v>106.13639999999999</v>
      </c>
      <c r="J29" s="420">
        <v>104.35080000000001</v>
      </c>
      <c r="K29" s="420">
        <v>105.5077</v>
      </c>
      <c r="L29" s="420">
        <v>114.06</v>
      </c>
      <c r="M29" s="420">
        <v>99.894729999999996</v>
      </c>
      <c r="N29" s="420">
        <v>108.0672</v>
      </c>
      <c r="O29" s="420">
        <v>108.19159999999999</v>
      </c>
      <c r="P29" s="420">
        <v>105.1221</v>
      </c>
      <c r="Q29" s="420">
        <v>112.76519999999999</v>
      </c>
      <c r="R29" s="855">
        <v>119.2513</v>
      </c>
      <c r="S29" s="855">
        <v>108.4877</v>
      </c>
      <c r="T29" s="855">
        <v>108.989</v>
      </c>
      <c r="U29" s="806">
        <v>99.889430000000004</v>
      </c>
    </row>
    <row r="30" spans="1:23" s="16" customFormat="1" ht="17.25" customHeight="1" x14ac:dyDescent="0.2">
      <c r="A30" s="489" t="s">
        <v>323</v>
      </c>
      <c r="B30" s="287">
        <f>65+7.781876278</f>
        <v>72.781876277999999</v>
      </c>
      <c r="C30" s="83">
        <f>65+7.924041</f>
        <v>72.924041000000003</v>
      </c>
      <c r="D30" s="474">
        <f>65+8.793245</f>
        <v>73.793244999999999</v>
      </c>
      <c r="E30" s="474">
        <f>65+8.14872</f>
        <v>73.148719999999997</v>
      </c>
      <c r="F30" s="474">
        <f>65+7.691676</f>
        <v>72.691676000000001</v>
      </c>
      <c r="G30" s="474">
        <f>65+7.773899</f>
        <v>72.773899</v>
      </c>
      <c r="H30" s="474">
        <f>65+8.030216</f>
        <v>73.030215999999996</v>
      </c>
      <c r="I30" s="474">
        <f>65+8.500035</f>
        <v>73.500034999999997</v>
      </c>
      <c r="J30" s="474">
        <f>65+6.717291</f>
        <v>71.717291000000003</v>
      </c>
      <c r="K30" s="474">
        <f>65+7.368482</f>
        <v>72.368482</v>
      </c>
      <c r="L30" s="474">
        <f>65+5.130298</f>
        <v>70.130297999999996</v>
      </c>
      <c r="M30" s="474">
        <f>65+9.700483</f>
        <v>74.700483000000006</v>
      </c>
      <c r="N30" s="474">
        <f>65+6.816113</f>
        <v>71.816113000000001</v>
      </c>
      <c r="O30" s="474">
        <f>65+8.927392</f>
        <v>73.927391999999998</v>
      </c>
      <c r="P30" s="474">
        <f>65+7.487976</f>
        <v>72.487976000000003</v>
      </c>
      <c r="Q30" s="474">
        <f>65+7.365924</f>
        <v>72.365924000000007</v>
      </c>
      <c r="R30" s="853">
        <f>65+4.898474</f>
        <v>69.898473999999993</v>
      </c>
      <c r="S30" s="853">
        <f>65+8.02879</f>
        <v>73.028790000000001</v>
      </c>
      <c r="T30" s="853">
        <f>65+7.272469</f>
        <v>72.272469000000001</v>
      </c>
      <c r="U30" s="804">
        <f>65+9.76136</f>
        <v>74.761359999999996</v>
      </c>
      <c r="V30" s="261"/>
      <c r="W30" s="261"/>
    </row>
    <row r="31" spans="1:23" s="16" customFormat="1" ht="17.25" customHeight="1" x14ac:dyDescent="0.2">
      <c r="A31" s="277" t="s">
        <v>302</v>
      </c>
      <c r="B31" s="278">
        <v>100</v>
      </c>
      <c r="C31" s="76">
        <v>103.0419</v>
      </c>
      <c r="D31" s="420">
        <v>110.53959999999999</v>
      </c>
      <c r="E31" s="420">
        <v>99.490660000000005</v>
      </c>
      <c r="F31" s="420">
        <v>102.5706</v>
      </c>
      <c r="G31" s="420">
        <v>99.935869999999994</v>
      </c>
      <c r="H31" s="420">
        <v>99.166759999999996</v>
      </c>
      <c r="I31" s="420">
        <v>101.9272</v>
      </c>
      <c r="J31" s="420">
        <v>103.4284</v>
      </c>
      <c r="K31" s="420">
        <v>93.450890000000001</v>
      </c>
      <c r="L31" s="420">
        <v>95.834670000000003</v>
      </c>
      <c r="M31" s="420">
        <v>95.458060000000003</v>
      </c>
      <c r="N31" s="420">
        <v>94.770300000000006</v>
      </c>
      <c r="O31" s="420">
        <v>108.3565</v>
      </c>
      <c r="P31" s="420">
        <v>99.491200000000006</v>
      </c>
      <c r="Q31" s="420">
        <v>104.3505</v>
      </c>
      <c r="R31" s="855">
        <v>95.361639999999994</v>
      </c>
      <c r="S31" s="855">
        <v>101.7551</v>
      </c>
      <c r="T31" s="855">
        <v>98.94238</v>
      </c>
      <c r="U31" s="806">
        <v>100.9474</v>
      </c>
    </row>
    <row r="32" spans="1:23" s="16" customFormat="1" ht="17.25" customHeight="1" x14ac:dyDescent="0.2">
      <c r="A32" s="291" t="s">
        <v>229</v>
      </c>
      <c r="B32" s="292">
        <v>100</v>
      </c>
      <c r="C32" s="329">
        <v>99.682249999999996</v>
      </c>
      <c r="D32" s="487">
        <v>102.31319999999999</v>
      </c>
      <c r="E32" s="487">
        <v>97.394279999999995</v>
      </c>
      <c r="F32" s="487">
        <v>97.976879999999994</v>
      </c>
      <c r="G32" s="487">
        <v>100.307</v>
      </c>
      <c r="H32" s="487">
        <v>98.740710000000007</v>
      </c>
      <c r="I32" s="487">
        <v>105.31619999999999</v>
      </c>
      <c r="J32" s="483">
        <v>107.8922</v>
      </c>
      <c r="K32" s="487">
        <v>93.360569999999996</v>
      </c>
      <c r="L32" s="487">
        <v>103.60599999999999</v>
      </c>
      <c r="M32" s="487">
        <v>104.11669999999999</v>
      </c>
      <c r="N32" s="487">
        <v>97.603669999999994</v>
      </c>
      <c r="O32" s="487">
        <v>108.75</v>
      </c>
      <c r="P32" s="487">
        <v>97.780779999999993</v>
      </c>
      <c r="Q32" s="487">
        <v>102.01949999999999</v>
      </c>
      <c r="R32" s="861">
        <v>93.005459999999999</v>
      </c>
      <c r="S32" s="861">
        <v>96.55583</v>
      </c>
      <c r="T32" s="861">
        <v>94.188839999999999</v>
      </c>
      <c r="U32" s="813">
        <v>94.970039999999997</v>
      </c>
    </row>
    <row r="33" spans="1:21" s="16" customFormat="1" ht="17.25" customHeight="1" x14ac:dyDescent="0.2">
      <c r="A33" s="295" t="s">
        <v>13</v>
      </c>
      <c r="B33" s="794"/>
      <c r="C33" s="795"/>
      <c r="D33" s="791"/>
      <c r="E33" s="791"/>
      <c r="F33" s="791"/>
      <c r="G33" s="791"/>
      <c r="H33" s="791"/>
      <c r="I33" s="791"/>
      <c r="J33" s="791"/>
      <c r="K33" s="791"/>
      <c r="L33" s="791"/>
      <c r="M33" s="791"/>
      <c r="N33" s="791"/>
      <c r="O33" s="791"/>
      <c r="P33" s="791"/>
      <c r="Q33" s="791"/>
      <c r="R33" s="791"/>
      <c r="S33" s="791"/>
      <c r="T33" s="791"/>
      <c r="U33" s="802"/>
    </row>
    <row r="34" spans="1:21" s="16" customFormat="1" ht="17.25" customHeight="1" x14ac:dyDescent="0.2">
      <c r="A34" s="295" t="s">
        <v>14</v>
      </c>
      <c r="B34" s="794"/>
      <c r="C34" s="795"/>
      <c r="D34" s="820"/>
      <c r="E34" s="820"/>
      <c r="F34" s="820"/>
      <c r="G34" s="820"/>
      <c r="H34" s="820"/>
      <c r="I34" s="820"/>
      <c r="J34" s="820"/>
      <c r="K34" s="820"/>
      <c r="L34" s="820"/>
      <c r="M34" s="820"/>
      <c r="N34" s="820"/>
      <c r="O34" s="820"/>
      <c r="P34" s="820"/>
      <c r="Q34" s="820"/>
      <c r="R34" s="820"/>
      <c r="S34" s="820"/>
      <c r="T34" s="820"/>
      <c r="U34" s="864"/>
    </row>
    <row r="35" spans="1:21" s="16" customFormat="1" ht="17.25" customHeight="1" x14ac:dyDescent="0.2">
      <c r="A35" s="303" t="s">
        <v>214</v>
      </c>
      <c r="B35" s="304">
        <v>5.7111111111111104</v>
      </c>
      <c r="C35" s="204">
        <v>5.257142857142858</v>
      </c>
      <c r="D35" s="501">
        <v>2.2000000000000002</v>
      </c>
      <c r="E35" s="503">
        <v>3.6</v>
      </c>
      <c r="F35" s="501">
        <v>6.2</v>
      </c>
      <c r="G35" s="501">
        <v>4.7</v>
      </c>
      <c r="H35" s="501">
        <v>8.3000000000000007</v>
      </c>
      <c r="I35" s="501">
        <v>4.9000000000000004</v>
      </c>
      <c r="J35" s="503">
        <v>5.3</v>
      </c>
      <c r="K35" s="501">
        <v>6.3</v>
      </c>
      <c r="L35" s="503">
        <v>5.7</v>
      </c>
      <c r="M35" s="501">
        <v>6.7</v>
      </c>
      <c r="N35" s="501">
        <v>3.7</v>
      </c>
      <c r="O35" s="501">
        <v>4.9000000000000004</v>
      </c>
      <c r="P35" s="503">
        <v>5.4</v>
      </c>
      <c r="Q35" s="501">
        <v>2.7</v>
      </c>
      <c r="R35" s="845">
        <v>5.9</v>
      </c>
      <c r="S35" s="845">
        <v>6.1</v>
      </c>
      <c r="T35" s="845">
        <v>6.4</v>
      </c>
      <c r="U35" s="814">
        <v>6.6</v>
      </c>
    </row>
    <row r="36" spans="1:21" s="16" customFormat="1" ht="17.25" customHeight="1" x14ac:dyDescent="0.2">
      <c r="A36" s="307" t="s">
        <v>215</v>
      </c>
      <c r="B36" s="308">
        <v>5.177777777777778</v>
      </c>
      <c r="C36" s="204">
        <v>6.2714285714285714</v>
      </c>
      <c r="D36" s="474">
        <v>6.7</v>
      </c>
      <c r="E36" s="448">
        <v>6.3</v>
      </c>
      <c r="F36" s="474">
        <v>5</v>
      </c>
      <c r="G36" s="474">
        <v>6.7</v>
      </c>
      <c r="H36" s="448">
        <v>5.4</v>
      </c>
      <c r="I36" s="448" t="s">
        <v>5</v>
      </c>
      <c r="J36" s="448" t="s">
        <v>5</v>
      </c>
      <c r="K36" s="474">
        <v>6.6</v>
      </c>
      <c r="L36" s="448">
        <v>6.1</v>
      </c>
      <c r="M36" s="474">
        <v>5.2</v>
      </c>
      <c r="N36" s="474">
        <v>8.1999999999999993</v>
      </c>
      <c r="O36" s="448">
        <v>6.6</v>
      </c>
      <c r="P36" s="448">
        <v>6.2</v>
      </c>
      <c r="Q36" s="474">
        <v>6.7</v>
      </c>
      <c r="R36" s="458">
        <v>6.7</v>
      </c>
      <c r="S36" s="458">
        <v>6</v>
      </c>
      <c r="T36" s="458">
        <v>4.5999999999999996</v>
      </c>
      <c r="U36" s="804">
        <v>6.8</v>
      </c>
    </row>
    <row r="37" spans="1:21" s="16" customFormat="1" ht="17.25" customHeight="1" x14ac:dyDescent="0.2">
      <c r="A37" s="299" t="s">
        <v>216</v>
      </c>
      <c r="B37" s="310">
        <v>6.4279999999999999</v>
      </c>
      <c r="C37" s="204">
        <v>6.5857142857142863</v>
      </c>
      <c r="D37" s="459">
        <v>7.2</v>
      </c>
      <c r="E37" s="454">
        <v>5.5</v>
      </c>
      <c r="F37" s="459">
        <v>7.9</v>
      </c>
      <c r="G37" s="459">
        <v>4.7</v>
      </c>
      <c r="H37" s="454">
        <v>7.3</v>
      </c>
      <c r="I37" s="454" t="s">
        <v>5</v>
      </c>
      <c r="J37" s="454" t="s">
        <v>197</v>
      </c>
      <c r="K37" s="459">
        <v>6.6</v>
      </c>
      <c r="L37" s="454">
        <v>5.9</v>
      </c>
      <c r="M37" s="459">
        <v>5.0999999999999996</v>
      </c>
      <c r="N37" s="459">
        <v>6.5</v>
      </c>
      <c r="O37" s="454">
        <v>4.5</v>
      </c>
      <c r="P37" s="454">
        <v>5.9</v>
      </c>
      <c r="Q37" s="459">
        <v>6.5</v>
      </c>
      <c r="R37" s="460">
        <v>6.8</v>
      </c>
      <c r="S37" s="457">
        <v>7</v>
      </c>
      <c r="T37" s="457">
        <v>5.6</v>
      </c>
      <c r="U37" s="810">
        <v>5.9</v>
      </c>
    </row>
    <row r="38" spans="1:21" s="16" customFormat="1" ht="9" customHeight="1" x14ac:dyDescent="0.2">
      <c r="A38" s="866"/>
      <c r="B38" s="867"/>
      <c r="C38" s="868"/>
      <c r="D38" s="791"/>
      <c r="E38" s="791"/>
      <c r="F38" s="791"/>
      <c r="G38" s="791"/>
      <c r="H38" s="791"/>
      <c r="I38" s="791"/>
      <c r="J38" s="827"/>
      <c r="K38" s="791"/>
      <c r="L38" s="791"/>
      <c r="M38" s="791"/>
      <c r="N38" s="791"/>
      <c r="O38" s="791"/>
      <c r="P38" s="791"/>
      <c r="Q38" s="791"/>
      <c r="R38" s="791"/>
      <c r="S38" s="843"/>
      <c r="T38" s="843"/>
      <c r="U38" s="844"/>
    </row>
    <row r="39" spans="1:21" s="16" customFormat="1" ht="17.25" customHeight="1" x14ac:dyDescent="0.2">
      <c r="A39" s="166" t="s">
        <v>7</v>
      </c>
      <c r="B39" s="830"/>
      <c r="C39" s="831"/>
      <c r="D39" s="412">
        <v>2014</v>
      </c>
      <c r="E39" s="412">
        <v>2021</v>
      </c>
      <c r="F39" s="412">
        <v>2011</v>
      </c>
      <c r="G39" s="412">
        <v>2021</v>
      </c>
      <c r="H39" s="412">
        <v>2017</v>
      </c>
      <c r="I39" s="412">
        <v>2022</v>
      </c>
      <c r="J39" s="412" t="s">
        <v>5</v>
      </c>
      <c r="K39" s="412">
        <v>2013</v>
      </c>
      <c r="L39" s="412">
        <v>2021</v>
      </c>
      <c r="M39" s="412">
        <v>2018</v>
      </c>
      <c r="N39" s="412">
        <v>2020</v>
      </c>
      <c r="O39" s="412">
        <v>2017</v>
      </c>
      <c r="P39" s="412">
        <v>2020</v>
      </c>
      <c r="Q39" s="508">
        <v>2005</v>
      </c>
      <c r="R39" s="606">
        <v>2013</v>
      </c>
      <c r="S39" s="606">
        <v>2017</v>
      </c>
      <c r="T39" s="606">
        <v>2017</v>
      </c>
      <c r="U39" s="815">
        <v>2006</v>
      </c>
    </row>
    <row r="40" spans="1:21" s="16" customFormat="1" ht="17.25" customHeight="1" x14ac:dyDescent="0.2">
      <c r="A40" s="1215" t="s">
        <v>354</v>
      </c>
      <c r="B40" s="1218"/>
      <c r="C40" s="1219"/>
      <c r="D40" s="1222" t="s">
        <v>382</v>
      </c>
      <c r="E40" s="1225" t="s">
        <v>363</v>
      </c>
      <c r="F40" s="1222" t="s">
        <v>382</v>
      </c>
      <c r="G40" s="1222" t="s">
        <v>382</v>
      </c>
      <c r="H40" s="1225" t="s">
        <v>358</v>
      </c>
      <c r="I40" s="1222" t="s">
        <v>382</v>
      </c>
      <c r="J40" s="1222" t="s">
        <v>382</v>
      </c>
      <c r="K40" s="1222" t="s">
        <v>363</v>
      </c>
      <c r="L40" s="1222" t="s">
        <v>356</v>
      </c>
      <c r="M40" s="1222" t="s">
        <v>381</v>
      </c>
      <c r="N40" s="1222" t="s">
        <v>365</v>
      </c>
      <c r="O40" s="1225" t="s">
        <v>363</v>
      </c>
      <c r="P40" s="1225" t="s">
        <v>356</v>
      </c>
      <c r="Q40" s="1222" t="s">
        <v>382</v>
      </c>
      <c r="R40" s="1222" t="s">
        <v>356</v>
      </c>
      <c r="S40" s="1225" t="s">
        <v>356</v>
      </c>
      <c r="T40" s="1225" t="s">
        <v>356</v>
      </c>
      <c r="U40" s="1225" t="s">
        <v>381</v>
      </c>
    </row>
    <row r="41" spans="1:21" s="16" customFormat="1" ht="17.25" customHeight="1" x14ac:dyDescent="0.2">
      <c r="A41" s="1215" t="s">
        <v>355</v>
      </c>
      <c r="B41" s="1218"/>
      <c r="C41" s="1219"/>
      <c r="D41" s="1222" t="s">
        <v>367</v>
      </c>
      <c r="E41" s="1227" t="s">
        <v>368</v>
      </c>
      <c r="F41" s="1222" t="s">
        <v>367</v>
      </c>
      <c r="G41" s="1222" t="s">
        <v>367</v>
      </c>
      <c r="H41" s="1227" t="s">
        <v>359</v>
      </c>
      <c r="I41" s="1222" t="s">
        <v>367</v>
      </c>
      <c r="J41" s="1222" t="s">
        <v>367</v>
      </c>
      <c r="K41" s="1222" t="s">
        <v>368</v>
      </c>
      <c r="L41" s="1222" t="s">
        <v>366</v>
      </c>
      <c r="M41" s="1222" t="s">
        <v>360</v>
      </c>
      <c r="N41" s="1222" t="s">
        <v>360</v>
      </c>
      <c r="O41" s="1222" t="s">
        <v>368</v>
      </c>
      <c r="P41" s="1222" t="s">
        <v>359</v>
      </c>
      <c r="Q41" s="1222" t="s">
        <v>367</v>
      </c>
      <c r="R41" s="1222" t="s">
        <v>366</v>
      </c>
      <c r="S41" s="1222" t="s">
        <v>366</v>
      </c>
      <c r="T41" s="1222" t="s">
        <v>359</v>
      </c>
      <c r="U41" s="1222" t="s">
        <v>360</v>
      </c>
    </row>
    <row r="42" spans="1:21" s="16" customFormat="1" ht="17.25" customHeight="1" x14ac:dyDescent="0.2">
      <c r="A42" s="317" t="s">
        <v>8</v>
      </c>
      <c r="B42" s="832"/>
      <c r="C42" s="833"/>
      <c r="D42" s="841"/>
      <c r="E42" s="841"/>
      <c r="F42" s="841"/>
      <c r="G42" s="841"/>
      <c r="H42" s="841"/>
      <c r="I42" s="841"/>
      <c r="J42" s="841"/>
      <c r="K42" s="841"/>
      <c r="L42" s="841"/>
      <c r="M42" s="841"/>
      <c r="N42" s="841"/>
      <c r="O42" s="841"/>
      <c r="P42" s="841"/>
      <c r="Q42" s="791"/>
      <c r="R42" s="841"/>
      <c r="S42" s="862"/>
      <c r="T42" s="862"/>
      <c r="U42" s="863"/>
    </row>
    <row r="43" spans="1:21" s="16" customFormat="1" ht="17.25" customHeight="1" x14ac:dyDescent="0.2">
      <c r="A43" s="303" t="s">
        <v>25</v>
      </c>
      <c r="B43" s="834"/>
      <c r="C43" s="835"/>
      <c r="D43" s="558">
        <v>11</v>
      </c>
      <c r="E43" s="558">
        <v>8</v>
      </c>
      <c r="F43" s="558">
        <v>15</v>
      </c>
      <c r="G43" s="558">
        <v>8</v>
      </c>
      <c r="H43" s="558">
        <v>13</v>
      </c>
      <c r="I43" s="558">
        <v>6</v>
      </c>
      <c r="J43" s="558">
        <v>6</v>
      </c>
      <c r="K43" s="558">
        <v>13</v>
      </c>
      <c r="L43" s="558">
        <v>8</v>
      </c>
      <c r="M43" s="558">
        <v>14</v>
      </c>
      <c r="N43" s="558">
        <v>10</v>
      </c>
      <c r="O43" s="558">
        <v>13</v>
      </c>
      <c r="P43" s="558">
        <v>10</v>
      </c>
      <c r="Q43" s="782">
        <v>29</v>
      </c>
      <c r="R43" s="846">
        <v>14</v>
      </c>
      <c r="S43" s="846">
        <v>12</v>
      </c>
      <c r="T43" s="846">
        <v>13</v>
      </c>
      <c r="U43" s="851">
        <v>11</v>
      </c>
    </row>
    <row r="44" spans="1:21" s="16" customFormat="1" ht="17.25" customHeight="1" x14ac:dyDescent="0.2">
      <c r="A44" s="307" t="s">
        <v>26</v>
      </c>
      <c r="B44" s="836"/>
      <c r="C44" s="837"/>
      <c r="D44" s="559">
        <v>11</v>
      </c>
      <c r="E44" s="613">
        <v>6</v>
      </c>
      <c r="F44" s="559">
        <v>14</v>
      </c>
      <c r="G44" s="559">
        <v>6</v>
      </c>
      <c r="H44" s="613">
        <v>13</v>
      </c>
      <c r="I44" s="559">
        <v>6</v>
      </c>
      <c r="J44" s="559">
        <v>6</v>
      </c>
      <c r="K44" s="559">
        <v>12</v>
      </c>
      <c r="L44" s="559">
        <v>6</v>
      </c>
      <c r="M44" s="559">
        <v>13</v>
      </c>
      <c r="N44" s="613">
        <v>9</v>
      </c>
      <c r="O44" s="613">
        <v>13</v>
      </c>
      <c r="P44" s="613">
        <v>9</v>
      </c>
      <c r="Q44" s="559">
        <v>30</v>
      </c>
      <c r="R44" s="613">
        <v>13</v>
      </c>
      <c r="S44" s="613">
        <v>12</v>
      </c>
      <c r="T44" s="613">
        <v>13</v>
      </c>
      <c r="U44" s="817">
        <v>11</v>
      </c>
    </row>
    <row r="45" spans="1:21" s="16" customFormat="1" ht="17.25" customHeight="1" thickBot="1" x14ac:dyDescent="0.25">
      <c r="A45" s="178" t="s">
        <v>27</v>
      </c>
      <c r="B45" s="838"/>
      <c r="C45" s="839"/>
      <c r="D45" s="110">
        <v>10</v>
      </c>
      <c r="E45" s="560">
        <v>6</v>
      </c>
      <c r="F45" s="560">
        <v>11</v>
      </c>
      <c r="G45" s="847">
        <v>6</v>
      </c>
      <c r="H45" s="560">
        <v>12</v>
      </c>
      <c r="I45" s="847">
        <v>6</v>
      </c>
      <c r="J45" s="560">
        <v>6</v>
      </c>
      <c r="K45" s="560">
        <v>11</v>
      </c>
      <c r="L45" s="560">
        <v>6</v>
      </c>
      <c r="M45" s="560">
        <v>11</v>
      </c>
      <c r="N45" s="560">
        <v>6</v>
      </c>
      <c r="O45" s="560">
        <v>12</v>
      </c>
      <c r="P45" s="560">
        <v>6</v>
      </c>
      <c r="Q45" s="560">
        <v>27</v>
      </c>
      <c r="R45" s="848">
        <v>12</v>
      </c>
      <c r="S45" s="848">
        <v>11</v>
      </c>
      <c r="T45" s="560">
        <v>12</v>
      </c>
      <c r="U45" s="818">
        <v>10</v>
      </c>
    </row>
    <row r="46" spans="1:21" ht="13.5" customHeight="1" x14ac:dyDescent="0.2">
      <c r="A46" s="216"/>
      <c r="B46" s="217"/>
      <c r="C46" s="217"/>
      <c r="D46" s="617"/>
      <c r="E46" s="617"/>
      <c r="F46" s="617"/>
      <c r="G46" s="617"/>
      <c r="H46" s="617"/>
      <c r="I46" s="617"/>
      <c r="J46" s="617"/>
      <c r="K46" s="617"/>
      <c r="L46" s="617"/>
      <c r="M46" s="617"/>
      <c r="N46" s="617"/>
      <c r="O46" s="617"/>
      <c r="P46" s="617"/>
      <c r="Q46" s="617"/>
      <c r="R46" s="617"/>
      <c r="S46" s="617"/>
      <c r="T46" s="617"/>
      <c r="U46" s="617"/>
    </row>
    <row r="50" spans="21:21" x14ac:dyDescent="0.2">
      <c r="U50" s="8"/>
    </row>
    <row r="51" spans="21:21" x14ac:dyDescent="0.2">
      <c r="U51" s="8"/>
    </row>
    <row r="52" spans="21:21" x14ac:dyDescent="0.2">
      <c r="U52" s="8"/>
    </row>
    <row r="53" spans="21:21" x14ac:dyDescent="0.2">
      <c r="U53" s="8"/>
    </row>
    <row r="56" spans="21:21" x14ac:dyDescent="0.2">
      <c r="U56" s="8"/>
    </row>
    <row r="57" spans="21:21" x14ac:dyDescent="0.2">
      <c r="U57" s="8"/>
    </row>
    <row r="58" spans="21:21" x14ac:dyDescent="0.2">
      <c r="U58" s="8"/>
    </row>
    <row r="59" spans="21:21" x14ac:dyDescent="0.2">
      <c r="U59" s="8"/>
    </row>
    <row r="60" spans="21:21" x14ac:dyDescent="0.2">
      <c r="U60" s="8"/>
    </row>
    <row r="61" spans="21:21" x14ac:dyDescent="0.2">
      <c r="U61" s="8"/>
    </row>
    <row r="62" spans="21:21" x14ac:dyDescent="0.2">
      <c r="U62" s="8"/>
    </row>
    <row r="63" spans="21:21" x14ac:dyDescent="0.2">
      <c r="U63" s="8"/>
    </row>
    <row r="64" spans="21:21" x14ac:dyDescent="0.2">
      <c r="U64" s="8"/>
    </row>
    <row r="65" spans="21:21" x14ac:dyDescent="0.2">
      <c r="U65" s="8"/>
    </row>
    <row r="66" spans="21:21" x14ac:dyDescent="0.2">
      <c r="U66" s="8"/>
    </row>
    <row r="67" spans="21:21" x14ac:dyDescent="0.2">
      <c r="U67" s="8"/>
    </row>
    <row r="68" spans="21:21" x14ac:dyDescent="0.2">
      <c r="U68" s="8"/>
    </row>
    <row r="69" spans="21:21" x14ac:dyDescent="0.2">
      <c r="U69" s="8"/>
    </row>
  </sheetData>
  <conditionalFormatting sqref="D28:H28 J28:K28 M28 O28 Q28:U28">
    <cfRule type="cellIs" dxfId="5" priority="164" stopIfTrue="1" operator="greaterThan">
      <formula>"7.5+$Z$37"</formula>
    </cfRule>
  </conditionalFormatting>
  <conditionalFormatting sqref="D28:U28">
    <cfRule type="cellIs" dxfId="4" priority="10" stopIfTrue="1" operator="greaterThan">
      <formula>"7.5+1.35"</formula>
    </cfRule>
  </conditionalFormatting>
  <conditionalFormatting sqref="I28">
    <cfRule type="aboveAverage" priority="17" stopIfTrue="1"/>
    <cfRule type="cellIs" dxfId="3" priority="18" stopIfTrue="1" operator="greaterThan">
      <formula>"7.5+$Z$37"</formula>
    </cfRule>
  </conditionalFormatting>
  <conditionalFormatting sqref="L28">
    <cfRule type="aboveAverage" priority="35" stopIfTrue="1"/>
    <cfRule type="cellIs" dxfId="2" priority="36" stopIfTrue="1" operator="greaterThan">
      <formula>"7.5+$Z$37"</formula>
    </cfRule>
  </conditionalFormatting>
  <conditionalFormatting sqref="N28">
    <cfRule type="aboveAverage" priority="148" stopIfTrue="1"/>
    <cfRule type="cellIs" dxfId="1" priority="149" stopIfTrue="1" operator="greaterThan">
      <formula>"7.5+$Z$37"</formula>
    </cfRule>
  </conditionalFormatting>
  <conditionalFormatting sqref="P28">
    <cfRule type="aboveAverage" priority="20" stopIfTrue="1"/>
    <cfRule type="cellIs" dxfId="0" priority="21" stopIfTrue="1" operator="greaterThan">
      <formula>"7.5+$Z$37"</formula>
    </cfRule>
  </conditionalFormatting>
  <conditionalFormatting sqref="Q28:U28 D28:H28 J28:K28 M28 O28">
    <cfRule type="aboveAverage" priority="163" stopIfTrue="1"/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">
    <pageSetUpPr fitToPage="1"/>
  </sheetPr>
  <dimension ref="A1:BK53"/>
  <sheetViews>
    <sheetView zoomScale="60" zoomScaleNormal="60" workbookViewId="0">
      <selection activeCell="Y3" sqref="Y3"/>
    </sheetView>
  </sheetViews>
  <sheetFormatPr defaultColWidth="9.140625" defaultRowHeight="12.75" x14ac:dyDescent="0.2"/>
  <cols>
    <col min="1" max="1" width="43.85546875" customWidth="1"/>
    <col min="2" max="2" width="10.42578125" style="59" customWidth="1"/>
    <col min="3" max="3" width="10" style="59" customWidth="1"/>
    <col min="4" max="4" width="8.5703125" style="59" customWidth="1"/>
    <col min="5" max="32" width="8.42578125" style="59" customWidth="1"/>
    <col min="34" max="34" width="11.42578125" customWidth="1"/>
  </cols>
  <sheetData>
    <row r="1" spans="1:34" ht="15" x14ac:dyDescent="0.25">
      <c r="A1" s="25" t="s">
        <v>329</v>
      </c>
      <c r="B1" s="62"/>
      <c r="C1" s="62"/>
      <c r="D1" s="4"/>
      <c r="E1" s="3"/>
      <c r="F1" s="4"/>
      <c r="G1" s="3"/>
      <c r="H1" s="4"/>
      <c r="I1" s="4"/>
      <c r="J1" s="3"/>
      <c r="K1" s="3"/>
      <c r="L1" s="3"/>
      <c r="M1" s="4"/>
      <c r="N1" s="3"/>
      <c r="O1" s="4"/>
      <c r="P1" s="3"/>
      <c r="Q1" s="4"/>
      <c r="R1" s="3"/>
      <c r="T1" s="3"/>
      <c r="U1" s="3"/>
      <c r="V1" s="3"/>
      <c r="W1" s="4"/>
      <c r="X1" s="3"/>
      <c r="Y1" s="3"/>
      <c r="Z1" s="3"/>
      <c r="AA1" s="3"/>
      <c r="AB1" s="3"/>
      <c r="AE1" s="3"/>
    </row>
    <row r="2" spans="1:34" ht="11.25" customHeight="1" thickBot="1" x14ac:dyDescent="0.3">
      <c r="A2" s="26"/>
      <c r="B2" s="62"/>
      <c r="C2" s="62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3"/>
      <c r="T2" s="4"/>
      <c r="U2" s="4"/>
      <c r="V2" s="4"/>
      <c r="W2" s="4"/>
      <c r="X2" s="4"/>
      <c r="Y2" s="4"/>
      <c r="Z2" s="4"/>
      <c r="AA2" s="4"/>
      <c r="AB2" s="4"/>
      <c r="AC2" s="3"/>
      <c r="AD2" s="3"/>
      <c r="AE2" s="4"/>
      <c r="AF2" s="3"/>
      <c r="AG2" s="3"/>
      <c r="AH2" s="3"/>
    </row>
    <row r="3" spans="1:34" ht="86.45" customHeight="1" x14ac:dyDescent="0.2">
      <c r="A3" s="32"/>
      <c r="B3" s="34" t="s">
        <v>119</v>
      </c>
      <c r="C3" s="34" t="s">
        <v>120</v>
      </c>
      <c r="D3" s="463" t="s">
        <v>234</v>
      </c>
      <c r="E3" s="463" t="s">
        <v>189</v>
      </c>
      <c r="F3" s="463" t="s">
        <v>113</v>
      </c>
      <c r="G3" s="463" t="s">
        <v>170</v>
      </c>
      <c r="H3" s="463" t="s">
        <v>102</v>
      </c>
      <c r="I3" s="1246" t="s">
        <v>235</v>
      </c>
      <c r="J3" s="463" t="s">
        <v>63</v>
      </c>
      <c r="K3" s="463" t="s">
        <v>171</v>
      </c>
      <c r="L3" s="464" t="s">
        <v>236</v>
      </c>
      <c r="M3" s="463" t="s">
        <v>108</v>
      </c>
      <c r="N3" s="463" t="s">
        <v>206</v>
      </c>
      <c r="O3" s="463" t="s">
        <v>58</v>
      </c>
      <c r="P3" s="463" t="s">
        <v>105</v>
      </c>
      <c r="Q3" s="463" t="s">
        <v>115</v>
      </c>
      <c r="R3" s="464" t="s">
        <v>56</v>
      </c>
      <c r="S3" s="463" t="s">
        <v>92</v>
      </c>
      <c r="T3" s="463" t="s">
        <v>190</v>
      </c>
      <c r="U3" s="463" t="s">
        <v>169</v>
      </c>
      <c r="V3" s="463" t="s">
        <v>207</v>
      </c>
      <c r="W3" s="463" t="s">
        <v>104</v>
      </c>
      <c r="X3" s="464" t="s">
        <v>80</v>
      </c>
      <c r="Y3" s="463" t="s">
        <v>172</v>
      </c>
      <c r="Z3" s="463" t="s">
        <v>199</v>
      </c>
      <c r="AA3" s="464" t="s">
        <v>99</v>
      </c>
      <c r="AB3" s="463" t="s">
        <v>181</v>
      </c>
      <c r="AC3" s="465" t="s">
        <v>59</v>
      </c>
      <c r="AD3" s="465" t="s">
        <v>57</v>
      </c>
      <c r="AE3" s="463" t="s">
        <v>232</v>
      </c>
      <c r="AF3" s="849" t="s">
        <v>103</v>
      </c>
    </row>
    <row r="4" spans="1:34" ht="26.25" customHeight="1" x14ac:dyDescent="0.2">
      <c r="A4" s="27" t="s">
        <v>24</v>
      </c>
      <c r="B4" s="744"/>
      <c r="C4" s="744"/>
      <c r="D4" s="411" t="s">
        <v>2</v>
      </c>
      <c r="E4" s="411" t="s">
        <v>2</v>
      </c>
      <c r="F4" s="411" t="s">
        <v>2</v>
      </c>
      <c r="G4" s="411" t="s">
        <v>2</v>
      </c>
      <c r="H4" s="411" t="s">
        <v>1</v>
      </c>
      <c r="I4" s="411" t="s">
        <v>2</v>
      </c>
      <c r="J4" s="411" t="s">
        <v>1</v>
      </c>
      <c r="K4" s="1245" t="s">
        <v>3</v>
      </c>
      <c r="L4" s="411" t="s">
        <v>2</v>
      </c>
      <c r="M4" s="411" t="s">
        <v>3</v>
      </c>
      <c r="N4" s="411" t="s">
        <v>2</v>
      </c>
      <c r="O4" s="411" t="s">
        <v>1</v>
      </c>
      <c r="P4" s="411" t="s">
        <v>1</v>
      </c>
      <c r="Q4" s="411" t="s">
        <v>3</v>
      </c>
      <c r="R4" s="411" t="s">
        <v>1</v>
      </c>
      <c r="S4" s="411" t="s">
        <v>1</v>
      </c>
      <c r="T4" s="411" t="s">
        <v>2</v>
      </c>
      <c r="U4" s="411" t="s">
        <v>2</v>
      </c>
      <c r="V4" s="411" t="s">
        <v>2</v>
      </c>
      <c r="W4" s="411" t="s">
        <v>1</v>
      </c>
      <c r="X4" s="411" t="s">
        <v>1</v>
      </c>
      <c r="Y4" s="411" t="s">
        <v>3</v>
      </c>
      <c r="Z4" s="411" t="s">
        <v>2</v>
      </c>
      <c r="AA4" s="411" t="s">
        <v>1</v>
      </c>
      <c r="AB4" s="411" t="s">
        <v>2</v>
      </c>
      <c r="AC4" s="411" t="s">
        <v>4</v>
      </c>
      <c r="AD4" s="411" t="s">
        <v>1</v>
      </c>
      <c r="AE4" s="411" t="s">
        <v>2</v>
      </c>
      <c r="AF4" s="801" t="s">
        <v>3</v>
      </c>
    </row>
    <row r="5" spans="1:34" s="16" customFormat="1" x14ac:dyDescent="0.2">
      <c r="A5" s="328" t="s">
        <v>9</v>
      </c>
      <c r="B5" s="900"/>
      <c r="C5" s="900"/>
      <c r="D5" s="15">
        <v>150.828</v>
      </c>
      <c r="E5" s="15">
        <v>151.14100000000002</v>
      </c>
      <c r="F5" s="15">
        <v>151.80000000000001</v>
      </c>
      <c r="G5" s="15">
        <v>152.864</v>
      </c>
      <c r="H5" s="15">
        <v>152.88</v>
      </c>
      <c r="I5" s="15">
        <v>153.14400000000001</v>
      </c>
      <c r="J5" s="15">
        <v>153.48500000000001</v>
      </c>
      <c r="K5" s="15">
        <v>153.49200000000002</v>
      </c>
      <c r="L5" s="15">
        <v>153.626</v>
      </c>
      <c r="M5" s="15">
        <v>153.96800000000002</v>
      </c>
      <c r="N5" s="15">
        <v>154.22800000000001</v>
      </c>
      <c r="O5" s="15">
        <v>154.67099999999999</v>
      </c>
      <c r="P5" s="15">
        <v>154.80700000000002</v>
      </c>
      <c r="Q5" s="133">
        <v>154.858</v>
      </c>
      <c r="R5" s="15">
        <v>154.994</v>
      </c>
      <c r="S5" s="15">
        <v>155.125</v>
      </c>
      <c r="T5" s="15">
        <v>156.28</v>
      </c>
      <c r="U5" s="15">
        <v>156.50200000000001</v>
      </c>
      <c r="V5" s="15">
        <v>156.62700000000001</v>
      </c>
      <c r="W5" s="15">
        <v>157.364</v>
      </c>
      <c r="X5" s="15">
        <v>157.42000000000002</v>
      </c>
      <c r="Y5" s="15">
        <v>158.23599999999999</v>
      </c>
      <c r="Z5" s="15">
        <v>158.38</v>
      </c>
      <c r="AA5" s="15">
        <v>158.39100000000002</v>
      </c>
      <c r="AB5" s="15">
        <v>159.27199999999999</v>
      </c>
      <c r="AC5" s="15">
        <v>161.07299999999998</v>
      </c>
      <c r="AD5" s="15">
        <v>162.41899999999998</v>
      </c>
      <c r="AE5" s="15">
        <v>162.81700000000001</v>
      </c>
      <c r="AF5" s="869">
        <v>168.41</v>
      </c>
    </row>
    <row r="6" spans="1:34" s="16" customFormat="1" ht="17.25" customHeight="1" x14ac:dyDescent="0.2">
      <c r="A6" s="150" t="s">
        <v>11</v>
      </c>
      <c r="B6" s="775"/>
      <c r="C6" s="775"/>
      <c r="D6" s="772"/>
      <c r="E6" s="772"/>
      <c r="F6" s="772"/>
      <c r="G6" s="772"/>
      <c r="H6" s="772"/>
      <c r="I6" s="772"/>
      <c r="J6" s="772"/>
      <c r="K6" s="772"/>
      <c r="L6" s="772"/>
      <c r="M6" s="772"/>
      <c r="N6" s="772"/>
      <c r="O6" s="772"/>
      <c r="P6" s="772"/>
      <c r="Q6" s="772"/>
      <c r="R6" s="772"/>
      <c r="S6" s="772"/>
      <c r="T6" s="772"/>
      <c r="U6" s="772"/>
      <c r="V6" s="772"/>
      <c r="W6" s="772"/>
      <c r="X6" s="772"/>
      <c r="Y6" s="772"/>
      <c r="Z6" s="772"/>
      <c r="AA6" s="772"/>
      <c r="AB6" s="772"/>
      <c r="AC6" s="772"/>
      <c r="AD6" s="772"/>
      <c r="AE6" s="772"/>
      <c r="AF6" s="778"/>
    </row>
    <row r="7" spans="1:34" s="16" customFormat="1" ht="17.25" customHeight="1" x14ac:dyDescent="0.2">
      <c r="A7" s="266" t="s">
        <v>289</v>
      </c>
      <c r="B7" s="267">
        <v>100</v>
      </c>
      <c r="C7" s="73">
        <v>97.213162575915121</v>
      </c>
      <c r="D7" s="268">
        <v>110.8659</v>
      </c>
      <c r="E7" s="268">
        <v>101.1948</v>
      </c>
      <c r="F7" s="268">
        <v>96.807299999999998</v>
      </c>
      <c r="G7" s="268">
        <v>103.54040000000001</v>
      </c>
      <c r="H7" s="268">
        <v>101.94880000000001</v>
      </c>
      <c r="I7" s="268">
        <v>96.819469999999995</v>
      </c>
      <c r="J7" s="268">
        <v>95.398009999999999</v>
      </c>
      <c r="K7" s="268">
        <v>99.77731</v>
      </c>
      <c r="L7" s="268">
        <v>105.8866</v>
      </c>
      <c r="M7" s="268">
        <v>101.13209999999999</v>
      </c>
      <c r="N7" s="268">
        <v>98.712890000000002</v>
      </c>
      <c r="O7" s="268">
        <v>98.869640000000004</v>
      </c>
      <c r="P7" s="268">
        <v>98.068820000000002</v>
      </c>
      <c r="Q7" s="268">
        <v>99.321330000000003</v>
      </c>
      <c r="R7" s="268">
        <v>95.420389999999998</v>
      </c>
      <c r="S7" s="872">
        <v>97.98442</v>
      </c>
      <c r="T7" s="268">
        <v>96.246120000000005</v>
      </c>
      <c r="U7" s="268">
        <v>98.933300000000003</v>
      </c>
      <c r="V7" s="268">
        <v>102.8819</v>
      </c>
      <c r="W7" s="268">
        <v>105.1982</v>
      </c>
      <c r="X7" s="268">
        <v>96.949399999999997</v>
      </c>
      <c r="Y7" s="268">
        <v>98.806349999999995</v>
      </c>
      <c r="Z7" s="268">
        <v>105.694</v>
      </c>
      <c r="AA7" s="268">
        <v>96.362750000000005</v>
      </c>
      <c r="AB7" s="268">
        <v>101.36799999999999</v>
      </c>
      <c r="AC7" s="268">
        <v>102.50530000000001</v>
      </c>
      <c r="AD7" s="268">
        <v>100.64660000000001</v>
      </c>
      <c r="AE7" s="268">
        <v>107.56699999999999</v>
      </c>
      <c r="AF7" s="724">
        <v>100.34529999999999</v>
      </c>
    </row>
    <row r="8" spans="1:34" s="16" customFormat="1" ht="17.25" customHeight="1" x14ac:dyDescent="0.2">
      <c r="A8" s="471" t="s">
        <v>321</v>
      </c>
      <c r="B8" s="270">
        <f>65+11.4268459223005</f>
        <v>76.426845922300501</v>
      </c>
      <c r="C8" s="83">
        <f>65+11.1231181363297</f>
        <v>76.123118136329694</v>
      </c>
      <c r="D8" s="271">
        <f>65+13.79451</f>
        <v>78.794510000000002</v>
      </c>
      <c r="E8" s="271">
        <f>65+12.16558</f>
        <v>77.165580000000006</v>
      </c>
      <c r="F8" s="271">
        <f>65+10.96225</f>
        <v>75.962249999999997</v>
      </c>
      <c r="G8" s="271">
        <f>65+13.68565</f>
        <v>78.685649999999995</v>
      </c>
      <c r="H8" s="271">
        <f>65+10.59895</f>
        <v>75.598950000000002</v>
      </c>
      <c r="I8" s="271">
        <f>65+11.24326</f>
        <v>76.243259999999992</v>
      </c>
      <c r="J8" s="271">
        <f>65+10.17357</f>
        <v>75.173569999999998</v>
      </c>
      <c r="K8" s="271">
        <f>65+11.79586</f>
        <v>76.795860000000005</v>
      </c>
      <c r="L8" s="271">
        <f>65+11.47326</f>
        <v>76.473259999999996</v>
      </c>
      <c r="M8" s="271">
        <f>65+10.00172</f>
        <v>75.001720000000006</v>
      </c>
      <c r="N8" s="271">
        <f>65+10.8945</f>
        <v>75.894499999999994</v>
      </c>
      <c r="O8" s="271">
        <f>65+12.29946</f>
        <v>77.299459999999996</v>
      </c>
      <c r="P8" s="271">
        <f>65+11.27887</f>
        <v>76.278869999999998</v>
      </c>
      <c r="Q8" s="271">
        <f>65+10.14808</f>
        <v>75.148079999999993</v>
      </c>
      <c r="R8" s="271">
        <f>65+11.6507</f>
        <v>76.650700000000001</v>
      </c>
      <c r="S8" s="873">
        <f>65+11.14234</f>
        <v>76.142340000000004</v>
      </c>
      <c r="T8" s="271">
        <f>65+11.08558</f>
        <v>76.085579999999993</v>
      </c>
      <c r="U8" s="271">
        <f>65+10.60141</f>
        <v>75.601410000000001</v>
      </c>
      <c r="V8" s="271">
        <f>65+10.25373</f>
        <v>75.253730000000004</v>
      </c>
      <c r="W8" s="271">
        <f>65+11.89234</f>
        <v>76.892340000000004</v>
      </c>
      <c r="X8" s="271">
        <f>65+9.633843</f>
        <v>74.633842999999999</v>
      </c>
      <c r="Y8" s="271">
        <f>65+9.462526</f>
        <v>74.462525999999997</v>
      </c>
      <c r="Z8" s="271">
        <f>65+10.76558</f>
        <v>75.76558</v>
      </c>
      <c r="AA8" s="271">
        <f>65+13.45083</f>
        <v>78.450829999999996</v>
      </c>
      <c r="AB8" s="271">
        <f>65+11.38225</f>
        <v>76.382249999999999</v>
      </c>
      <c r="AC8" s="271">
        <f>65+11.37156</f>
        <v>76.371560000000002</v>
      </c>
      <c r="AD8" s="271">
        <f>65+10.07146</f>
        <v>75.071460000000002</v>
      </c>
      <c r="AE8" s="271">
        <f>65+13.50388</f>
        <v>78.503879999999995</v>
      </c>
      <c r="AF8" s="725">
        <f>65+9.820957</f>
        <v>74.820956999999993</v>
      </c>
    </row>
    <row r="9" spans="1:34" s="16" customFormat="1" ht="17.25" customHeight="1" x14ac:dyDescent="0.2">
      <c r="A9" s="174" t="s">
        <v>290</v>
      </c>
      <c r="B9" s="274">
        <v>100</v>
      </c>
      <c r="C9" s="186">
        <v>97.046499336767354</v>
      </c>
      <c r="D9" s="139">
        <v>114.7432</v>
      </c>
      <c r="E9" s="139">
        <v>102.3313</v>
      </c>
      <c r="F9" s="139">
        <v>96.220070000000007</v>
      </c>
      <c r="G9" s="139">
        <v>106.28660000000001</v>
      </c>
      <c r="H9" s="139">
        <v>100.97750000000001</v>
      </c>
      <c r="I9" s="139">
        <v>97.056989999999999</v>
      </c>
      <c r="J9" s="139">
        <v>94.29674</v>
      </c>
      <c r="K9" s="139">
        <v>100.3416</v>
      </c>
      <c r="L9" s="139">
        <v>106.3515</v>
      </c>
      <c r="M9" s="139">
        <v>99.235420000000005</v>
      </c>
      <c r="N9" s="139">
        <v>96.956530000000001</v>
      </c>
      <c r="O9" s="139">
        <v>100.2466</v>
      </c>
      <c r="P9" s="139">
        <v>97.8078</v>
      </c>
      <c r="Q9" s="139">
        <v>97.703599999999994</v>
      </c>
      <c r="R9" s="139">
        <v>96.012450000000001</v>
      </c>
      <c r="S9" s="143">
        <v>97.79598</v>
      </c>
      <c r="T9" s="139">
        <v>96.13503</v>
      </c>
      <c r="U9" s="139">
        <v>98.062209999999993</v>
      </c>
      <c r="V9" s="139">
        <v>100.92959999999999</v>
      </c>
      <c r="W9" s="139">
        <v>106.1146</v>
      </c>
      <c r="X9" s="139">
        <v>94.775710000000004</v>
      </c>
      <c r="Y9" s="139">
        <v>96.552670000000006</v>
      </c>
      <c r="Z9" s="139">
        <v>104.8172</v>
      </c>
      <c r="AA9" s="139">
        <v>98.809259999999995</v>
      </c>
      <c r="AB9" s="139">
        <v>101.2856</v>
      </c>
      <c r="AC9" s="139">
        <v>102.6322</v>
      </c>
      <c r="AD9" s="139">
        <v>99.335470000000001</v>
      </c>
      <c r="AE9" s="139">
        <v>111.06010000000001</v>
      </c>
      <c r="AF9" s="726">
        <v>98.599000000000004</v>
      </c>
    </row>
    <row r="10" spans="1:34" s="16" customFormat="1" ht="17.25" customHeight="1" x14ac:dyDescent="0.2">
      <c r="A10" s="150" t="s">
        <v>12</v>
      </c>
      <c r="B10" s="776"/>
      <c r="C10" s="775"/>
      <c r="D10" s="777"/>
      <c r="E10" s="777"/>
      <c r="F10" s="777"/>
      <c r="G10" s="777"/>
      <c r="H10" s="777"/>
      <c r="I10" s="777"/>
      <c r="J10" s="777"/>
      <c r="K10" s="777"/>
      <c r="L10" s="777"/>
      <c r="M10" s="777"/>
      <c r="N10" s="777"/>
      <c r="O10" s="777"/>
      <c r="P10" s="777"/>
      <c r="Q10" s="777"/>
      <c r="R10" s="777"/>
      <c r="S10" s="777"/>
      <c r="T10" s="777"/>
      <c r="U10" s="777"/>
      <c r="V10" s="777"/>
      <c r="W10" s="777"/>
      <c r="X10" s="777"/>
      <c r="Y10" s="777"/>
      <c r="Z10" s="777"/>
      <c r="AA10" s="777"/>
      <c r="AB10" s="777"/>
      <c r="AC10" s="777"/>
      <c r="AD10" s="777"/>
      <c r="AE10" s="777"/>
      <c r="AF10" s="899"/>
    </row>
    <row r="11" spans="1:34" s="16" customFormat="1" ht="17.25" customHeight="1" x14ac:dyDescent="0.2">
      <c r="A11" s="422" t="s">
        <v>298</v>
      </c>
      <c r="B11" s="278">
        <v>100</v>
      </c>
      <c r="C11" s="76">
        <v>93.99465983657673</v>
      </c>
      <c r="D11" s="361">
        <v>101.25295478073006</v>
      </c>
      <c r="E11" s="361">
        <v>99.550345111049836</v>
      </c>
      <c r="F11" s="361">
        <v>96.161933978747342</v>
      </c>
      <c r="G11" s="361">
        <v>96.337195940716725</v>
      </c>
      <c r="H11" s="361">
        <v>97.097696379910602</v>
      </c>
      <c r="I11" s="361">
        <v>93.754316215917981</v>
      </c>
      <c r="J11" s="361">
        <v>94.545890916581612</v>
      </c>
      <c r="K11" s="361">
        <v>99.555715789423886</v>
      </c>
      <c r="L11" s="361">
        <v>101.56711477554705</v>
      </c>
      <c r="M11" s="361">
        <v>98.794313351830738</v>
      </c>
      <c r="N11" s="361">
        <v>97.255152193131067</v>
      </c>
      <c r="O11" s="361">
        <v>93.994693594791158</v>
      </c>
      <c r="P11" s="361">
        <v>96.581994162656642</v>
      </c>
      <c r="Q11" s="361">
        <v>94.191874510766496</v>
      </c>
      <c r="R11" s="361">
        <v>90.282963210481284</v>
      </c>
      <c r="S11" s="874">
        <v>97.746992525317168</v>
      </c>
      <c r="T11" s="361">
        <v>93.739246787479033</v>
      </c>
      <c r="U11" s="361">
        <v>94.606325579187896</v>
      </c>
      <c r="V11" s="361">
        <v>96.72365528386689</v>
      </c>
      <c r="W11" s="361">
        <v>97.665105407979055</v>
      </c>
      <c r="X11" s="361">
        <v>93.453403692203381</v>
      </c>
      <c r="Y11" s="361">
        <v>92.229175413788127</v>
      </c>
      <c r="Z11" s="361">
        <v>98.849052094134393</v>
      </c>
      <c r="AA11" s="361">
        <v>89.242798738265336</v>
      </c>
      <c r="AB11" s="361">
        <v>93.443901111399953</v>
      </c>
      <c r="AC11" s="361">
        <v>96.488732557543614</v>
      </c>
      <c r="AD11" s="361">
        <v>91.938542179533215</v>
      </c>
      <c r="AE11" s="361">
        <v>94.261876963825557</v>
      </c>
      <c r="AF11" s="728">
        <v>91.418357878544185</v>
      </c>
    </row>
    <row r="12" spans="1:34" s="16" customFormat="1" ht="30" customHeight="1" x14ac:dyDescent="0.2">
      <c r="A12" s="158" t="s">
        <v>299</v>
      </c>
      <c r="B12" s="135">
        <v>100</v>
      </c>
      <c r="C12" s="186">
        <v>94.032812554382971</v>
      </c>
      <c r="D12" s="139">
        <v>102.50905460748706</v>
      </c>
      <c r="E12" s="139">
        <v>99.296569863863226</v>
      </c>
      <c r="F12" s="139">
        <v>96.934763685519556</v>
      </c>
      <c r="G12" s="139">
        <v>95.671435900976221</v>
      </c>
      <c r="H12" s="139">
        <v>95.000776433885548</v>
      </c>
      <c r="I12" s="139">
        <v>95.654852486597889</v>
      </c>
      <c r="J12" s="139">
        <v>93.836898400149423</v>
      </c>
      <c r="K12" s="139">
        <v>99.995303781169184</v>
      </c>
      <c r="L12" s="139">
        <v>104.81341871420268</v>
      </c>
      <c r="M12" s="139">
        <v>97.526275586144067</v>
      </c>
      <c r="N12" s="139">
        <v>95.23817249305938</v>
      </c>
      <c r="O12" s="139">
        <v>93.67041900519628</v>
      </c>
      <c r="P12" s="139">
        <v>95.622432403588334</v>
      </c>
      <c r="Q12" s="139">
        <v>94.435319661948213</v>
      </c>
      <c r="R12" s="139">
        <v>89.702667598779371</v>
      </c>
      <c r="S12" s="143">
        <v>99.256001983100546</v>
      </c>
      <c r="T12" s="139">
        <v>96.369842373917507</v>
      </c>
      <c r="U12" s="139">
        <v>93.659000988080763</v>
      </c>
      <c r="V12" s="139">
        <v>95.124550627976831</v>
      </c>
      <c r="W12" s="139">
        <v>97.545360179253962</v>
      </c>
      <c r="X12" s="139">
        <v>93.950987713461743</v>
      </c>
      <c r="Y12" s="139">
        <v>90.821632972383668</v>
      </c>
      <c r="Z12" s="139">
        <v>98.109769044343409</v>
      </c>
      <c r="AA12" s="139">
        <v>90.635797405758908</v>
      </c>
      <c r="AB12" s="139">
        <v>92.603158255348788</v>
      </c>
      <c r="AC12" s="139">
        <v>98.885229341600294</v>
      </c>
      <c r="AD12" s="139">
        <v>91.0288917394506</v>
      </c>
      <c r="AE12" s="139">
        <v>93.492259182493342</v>
      </c>
      <c r="AF12" s="726">
        <v>88.377518411625289</v>
      </c>
    </row>
    <row r="13" spans="1:34" s="16" customFormat="1" ht="17.25" customHeight="1" x14ac:dyDescent="0.2">
      <c r="A13" s="277" t="s">
        <v>293</v>
      </c>
      <c r="B13" s="278">
        <v>100</v>
      </c>
      <c r="C13" s="76">
        <v>94.183772779999998</v>
      </c>
      <c r="D13" s="361">
        <v>98.173680000000004</v>
      </c>
      <c r="E13" s="361">
        <v>102.4498</v>
      </c>
      <c r="F13" s="361">
        <v>100.1113</v>
      </c>
      <c r="G13" s="361">
        <v>97.575720000000004</v>
      </c>
      <c r="H13" s="361">
        <v>100.46769999999999</v>
      </c>
      <c r="I13" s="361">
        <v>99.924170000000004</v>
      </c>
      <c r="J13" s="361">
        <v>94.489760000000004</v>
      </c>
      <c r="K13" s="361">
        <v>99.902889999999999</v>
      </c>
      <c r="L13" s="361">
        <v>103.3614</v>
      </c>
      <c r="M13" s="361">
        <v>98.96772</v>
      </c>
      <c r="N13" s="361">
        <v>98.007459999999995</v>
      </c>
      <c r="O13" s="361">
        <v>92.725899999999996</v>
      </c>
      <c r="P13" s="361">
        <v>97.419229999999999</v>
      </c>
      <c r="Q13" s="361">
        <v>93.890640000000005</v>
      </c>
      <c r="R13" s="361">
        <v>92.867769999999993</v>
      </c>
      <c r="S13" s="875">
        <v>99.371110000000002</v>
      </c>
      <c r="T13" s="361">
        <v>93.990700000000004</v>
      </c>
      <c r="U13" s="361">
        <v>95.964500000000001</v>
      </c>
      <c r="V13" s="361">
        <v>100.529</v>
      </c>
      <c r="W13" s="361">
        <v>97.198269999999994</v>
      </c>
      <c r="X13" s="361">
        <v>96.903450000000007</v>
      </c>
      <c r="Y13" s="361">
        <v>94.428479999999993</v>
      </c>
      <c r="Z13" s="361">
        <v>104.613</v>
      </c>
      <c r="AA13" s="361">
        <v>90.840360000000004</v>
      </c>
      <c r="AB13" s="361">
        <v>96.651600000000002</v>
      </c>
      <c r="AC13" s="361">
        <v>96.837710000000001</v>
      </c>
      <c r="AD13" s="361">
        <v>91.891400000000004</v>
      </c>
      <c r="AE13" s="361">
        <v>94.624610000000004</v>
      </c>
      <c r="AF13" s="732">
        <v>90.595799999999997</v>
      </c>
    </row>
    <row r="14" spans="1:34" s="16" customFormat="1" ht="17.25" customHeight="1" x14ac:dyDescent="0.2">
      <c r="A14" s="451" t="s">
        <v>297</v>
      </c>
      <c r="B14" s="280">
        <v>100</v>
      </c>
      <c r="C14" s="316">
        <v>94.0835404741578</v>
      </c>
      <c r="D14" s="364">
        <v>99.713317390365034</v>
      </c>
      <c r="E14" s="281">
        <v>100.79296863488561</v>
      </c>
      <c r="F14" s="281">
        <v>97.777583714714353</v>
      </c>
      <c r="G14" s="281">
        <v>96.867991966123853</v>
      </c>
      <c r="H14" s="281">
        <v>98.715298117553502</v>
      </c>
      <c r="I14" s="281">
        <v>96.839243107959007</v>
      </c>
      <c r="J14" s="281">
        <v>94.515666576883831</v>
      </c>
      <c r="K14" s="281">
        <v>99.678247863744858</v>
      </c>
      <c r="L14" s="281">
        <v>102.46425738777354</v>
      </c>
      <c r="M14" s="281">
        <v>98.868630486760424</v>
      </c>
      <c r="N14" s="281">
        <v>97.631306096565538</v>
      </c>
      <c r="O14" s="281">
        <v>93.360296797395591</v>
      </c>
      <c r="P14" s="281">
        <v>96.983867364581457</v>
      </c>
      <c r="Q14" s="281">
        <v>94.06864221090747</v>
      </c>
      <c r="R14" s="281">
        <v>91.548991025755754</v>
      </c>
      <c r="S14" s="281">
        <v>98.559051262658585</v>
      </c>
      <c r="T14" s="281">
        <v>93.847012449988014</v>
      </c>
      <c r="U14" s="281">
        <v>95.161942387701941</v>
      </c>
      <c r="V14" s="281">
        <v>98.626327641933429</v>
      </c>
      <c r="W14" s="281">
        <v>97.441024412149105</v>
      </c>
      <c r="X14" s="281">
        <v>95.178426846101701</v>
      </c>
      <c r="Y14" s="281">
        <v>93.005400561862913</v>
      </c>
      <c r="Z14" s="281">
        <v>101.31931548236251</v>
      </c>
      <c r="AA14" s="281">
        <v>90.076308961779077</v>
      </c>
      <c r="AB14" s="281">
        <v>94.81862920651426</v>
      </c>
      <c r="AC14" s="281">
        <v>96.669453018815673</v>
      </c>
      <c r="AD14" s="281">
        <v>91.91497108976661</v>
      </c>
      <c r="AE14" s="281">
        <v>94.443243481912774</v>
      </c>
      <c r="AF14" s="729">
        <v>91.02353009684299</v>
      </c>
    </row>
    <row r="15" spans="1:34" s="16" customFormat="1" ht="17.25" customHeight="1" x14ac:dyDescent="0.2">
      <c r="A15" s="295" t="s">
        <v>13</v>
      </c>
      <c r="B15" s="746"/>
      <c r="C15" s="747"/>
      <c r="D15" s="777"/>
      <c r="E15" s="777"/>
      <c r="F15" s="777"/>
      <c r="G15" s="777"/>
      <c r="H15" s="777"/>
      <c r="I15" s="777"/>
      <c r="J15" s="777"/>
      <c r="K15" s="777"/>
      <c r="L15" s="777"/>
      <c r="M15" s="777"/>
      <c r="N15" s="777"/>
      <c r="O15" s="777"/>
      <c r="P15" s="777"/>
      <c r="Q15" s="777"/>
      <c r="R15" s="777"/>
      <c r="S15" s="777"/>
      <c r="T15" s="777"/>
      <c r="U15" s="777"/>
      <c r="V15" s="777"/>
      <c r="W15" s="777"/>
      <c r="X15" s="777"/>
      <c r="Y15" s="777"/>
      <c r="Z15" s="777"/>
      <c r="AA15" s="777"/>
      <c r="AB15" s="777"/>
      <c r="AC15" s="777"/>
      <c r="AD15" s="777"/>
      <c r="AE15" s="777"/>
      <c r="AF15" s="899"/>
    </row>
    <row r="16" spans="1:34" s="16" customFormat="1" ht="17.25" customHeight="1" x14ac:dyDescent="0.2">
      <c r="A16" s="177" t="s">
        <v>89</v>
      </c>
      <c r="B16" s="280">
        <v>69.719742699999998</v>
      </c>
      <c r="C16" s="142">
        <v>72.662740439999993</v>
      </c>
      <c r="D16" s="364">
        <v>69.017726430909761</v>
      </c>
      <c r="E16" s="364">
        <v>72.294007896442665</v>
      </c>
      <c r="F16" s="364">
        <v>76.603953226382444</v>
      </c>
      <c r="G16" s="364">
        <v>71.420467369413998</v>
      </c>
      <c r="H16" s="364">
        <v>71.816386264576977</v>
      </c>
      <c r="I16" s="364">
        <v>78.854393097576434</v>
      </c>
      <c r="J16" s="364">
        <v>72.111051643331407</v>
      </c>
      <c r="K16" s="364">
        <v>73.188766398216686</v>
      </c>
      <c r="L16" s="364">
        <v>66.536559764243094</v>
      </c>
      <c r="M16" s="364">
        <v>67.81589332720101</v>
      </c>
      <c r="N16" s="364">
        <v>71.336079641570137</v>
      </c>
      <c r="O16" s="364">
        <v>75.243532538382169</v>
      </c>
      <c r="P16" s="364">
        <v>72.498155411168383</v>
      </c>
      <c r="Q16" s="364">
        <v>67.537369893049117</v>
      </c>
      <c r="R16" s="364">
        <v>70.020610126937882</v>
      </c>
      <c r="S16" s="876">
        <v>72.251650087810859</v>
      </c>
      <c r="T16" s="364">
        <v>77.913007896442664</v>
      </c>
      <c r="U16" s="364">
        <v>74.263619893049125</v>
      </c>
      <c r="V16" s="364">
        <v>66.639746308236781</v>
      </c>
      <c r="W16" s="364">
        <v>72.483386254397672</v>
      </c>
      <c r="X16" s="364">
        <v>75.16840001065512</v>
      </c>
      <c r="Y16" s="364">
        <v>75.216544175994471</v>
      </c>
      <c r="Z16" s="364">
        <v>65.545841229775988</v>
      </c>
      <c r="AA16" s="364">
        <v>76.920820070515632</v>
      </c>
      <c r="AB16" s="364">
        <v>70.528007896442645</v>
      </c>
      <c r="AC16" s="364">
        <v>68.205544823751538</v>
      </c>
      <c r="AD16" s="364">
        <v>72.121832538382208</v>
      </c>
      <c r="AE16" s="364">
        <v>66.51074630823679</v>
      </c>
      <c r="AF16" s="729">
        <v>75.069693904686332</v>
      </c>
    </row>
    <row r="17" spans="1:63" s="16" customFormat="1" ht="17.25" customHeight="1" x14ac:dyDescent="0.2">
      <c r="A17" s="177" t="s">
        <v>20</v>
      </c>
      <c r="B17" s="278">
        <v>65.155071468212995</v>
      </c>
      <c r="C17" s="76">
        <v>66.070872988135946</v>
      </c>
      <c r="D17" s="368">
        <v>62.347607361684254</v>
      </c>
      <c r="E17" s="368">
        <v>68.613568308858376</v>
      </c>
      <c r="F17" s="368">
        <v>66.918133371423636</v>
      </c>
      <c r="G17" s="368">
        <v>66.050643264040104</v>
      </c>
      <c r="H17" s="368">
        <v>65.024259652502806</v>
      </c>
      <c r="I17" s="368">
        <v>69.552940695017583</v>
      </c>
      <c r="J17" s="368">
        <v>66.396932818477396</v>
      </c>
      <c r="K17" s="368">
        <v>68.506659547796843</v>
      </c>
      <c r="L17" s="368">
        <v>62.091107361684244</v>
      </c>
      <c r="M17" s="368">
        <v>65.067539840298821</v>
      </c>
      <c r="N17" s="368">
        <v>65.474870184138084</v>
      </c>
      <c r="O17" s="368">
        <v>70.596372556868999</v>
      </c>
      <c r="P17" s="368">
        <v>66.83934298583614</v>
      </c>
      <c r="Q17" s="368">
        <v>61.402244482534748</v>
      </c>
      <c r="R17" s="368">
        <v>61.966521205350062</v>
      </c>
      <c r="S17" s="877">
        <v>63.91538679343779</v>
      </c>
      <c r="T17" s="368">
        <v>70.840568308858394</v>
      </c>
      <c r="U17" s="368">
        <v>67.24835559364584</v>
      </c>
      <c r="V17" s="368">
        <v>63.142870184138097</v>
      </c>
      <c r="W17" s="368">
        <v>62.035259652502809</v>
      </c>
      <c r="X17" s="368">
        <v>65.656309783955635</v>
      </c>
      <c r="Y17" s="368">
        <v>66.35382621446351</v>
      </c>
      <c r="Z17" s="368">
        <v>60.482568308858376</v>
      </c>
      <c r="AA17" s="368">
        <v>71.58057142525756</v>
      </c>
      <c r="AB17" s="368">
        <v>65.714234975525059</v>
      </c>
      <c r="AC17" s="361">
        <v>61.778621824958172</v>
      </c>
      <c r="AD17" s="368">
        <v>66.238172556868989</v>
      </c>
      <c r="AE17" s="368">
        <v>62.83270351747143</v>
      </c>
      <c r="AF17" s="878">
        <v>66.764592985836146</v>
      </c>
    </row>
    <row r="18" spans="1:63" s="127" customFormat="1" ht="17.25" customHeight="1" x14ac:dyDescent="0.2">
      <c r="A18" s="283" t="s">
        <v>90</v>
      </c>
      <c r="B18" s="539">
        <v>6.4011358781683176</v>
      </c>
      <c r="C18" s="275">
        <v>6.6701246513826975</v>
      </c>
      <c r="D18" s="374">
        <v>6.1204576352712197</v>
      </c>
      <c r="E18" s="374">
        <v>6.8533018525671183</v>
      </c>
      <c r="F18" s="374">
        <v>7.1603635314059124</v>
      </c>
      <c r="G18" s="374">
        <v>6.6718617949078185</v>
      </c>
      <c r="H18" s="374">
        <v>6.5618270193840198</v>
      </c>
      <c r="I18" s="374">
        <v>7.4292832352712201</v>
      </c>
      <c r="J18" s="374">
        <v>6.6352559508400857</v>
      </c>
      <c r="K18" s="374">
        <v>6.9857258738762882</v>
      </c>
      <c r="L18" s="374">
        <v>5.9102048352712186</v>
      </c>
      <c r="M18" s="374">
        <v>6.2672010312345696</v>
      </c>
      <c r="N18" s="374">
        <v>6.5386809466143925</v>
      </c>
      <c r="O18" s="374">
        <v>7.2321047113152881</v>
      </c>
      <c r="P18" s="374">
        <v>6.7501037486605666</v>
      </c>
      <c r="Q18" s="374">
        <v>6.0014734742630553</v>
      </c>
      <c r="R18" s="374">
        <v>6.1682116863197143</v>
      </c>
      <c r="S18" s="879">
        <v>6.4636194316395814</v>
      </c>
      <c r="T18" s="374">
        <v>7.4558746525671209</v>
      </c>
      <c r="U18" s="374">
        <v>6.9766871885487687</v>
      </c>
      <c r="V18" s="374">
        <v>5.9989049466143891</v>
      </c>
      <c r="W18" s="374">
        <v>6.3947286505709764</v>
      </c>
      <c r="X18" s="374">
        <v>6.8177165710496856</v>
      </c>
      <c r="Y18" s="374">
        <v>7.0403357938762872</v>
      </c>
      <c r="Z18" s="374">
        <v>5.7105818525671177</v>
      </c>
      <c r="AA18" s="374">
        <v>7.418675080094693</v>
      </c>
      <c r="AB18" s="374">
        <v>6.4950042525671181</v>
      </c>
      <c r="AC18" s="374">
        <v>5.9967558669670717</v>
      </c>
      <c r="AD18" s="374">
        <v>6.6576483913152922</v>
      </c>
      <c r="AE18" s="374">
        <v>5.9651769466143909</v>
      </c>
      <c r="AF18" s="735">
        <v>6.9499865032148316</v>
      </c>
      <c r="AG18" s="16"/>
      <c r="AH18" s="16"/>
      <c r="AI18" s="16"/>
      <c r="AJ18" s="16"/>
      <c r="AK18" s="16"/>
      <c r="AL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</row>
    <row r="19" spans="1:63" s="16" customFormat="1" ht="17.25" customHeight="1" x14ac:dyDescent="0.2">
      <c r="A19" s="299" t="s">
        <v>213</v>
      </c>
      <c r="B19" s="300">
        <v>7.3051535259999998</v>
      </c>
      <c r="C19" s="300">
        <v>7.1457463389999996</v>
      </c>
      <c r="D19" s="882" t="s">
        <v>277</v>
      </c>
      <c r="E19" s="883">
        <v>7.5449060000000001</v>
      </c>
      <c r="F19" s="884">
        <v>7.2134200000000002</v>
      </c>
      <c r="G19" s="459">
        <v>7.2257499999999997</v>
      </c>
      <c r="H19" s="884">
        <v>7.2571389999999996</v>
      </c>
      <c r="I19" s="884" t="s">
        <v>296</v>
      </c>
      <c r="J19" s="301">
        <v>7.0764269999999998</v>
      </c>
      <c r="K19" s="459">
        <v>7.4996869999999998</v>
      </c>
      <c r="L19" s="301" t="s">
        <v>277</v>
      </c>
      <c r="M19" s="884">
        <v>7.1675019999999998</v>
      </c>
      <c r="N19" s="459" t="s">
        <v>195</v>
      </c>
      <c r="O19" s="313">
        <v>7.4124020000000002</v>
      </c>
      <c r="P19" s="459">
        <v>7.0071389999999996</v>
      </c>
      <c r="Q19" s="884">
        <v>7.2134200000000002</v>
      </c>
      <c r="R19" s="301">
        <v>6.9219939999999998</v>
      </c>
      <c r="S19" s="312">
        <v>7.2632199999999996</v>
      </c>
      <c r="T19" s="459">
        <v>7.2949060000000001</v>
      </c>
      <c r="U19" s="459">
        <v>7.0259200000000002</v>
      </c>
      <c r="V19" s="459" t="s">
        <v>197</v>
      </c>
      <c r="W19" s="459">
        <v>7.4571389999999997</v>
      </c>
      <c r="X19" s="301">
        <v>6.9507199999999996</v>
      </c>
      <c r="Y19" s="459">
        <v>7.1871869999999998</v>
      </c>
      <c r="Z19" s="459">
        <v>7.3782399999999999</v>
      </c>
      <c r="AA19" s="301">
        <v>7.4410540000000003</v>
      </c>
      <c r="AB19" s="459">
        <v>7.0449060000000001</v>
      </c>
      <c r="AC19" s="301">
        <v>7.2318699999999998</v>
      </c>
      <c r="AD19" s="301">
        <v>7.014367</v>
      </c>
      <c r="AE19" s="459" t="s">
        <v>280</v>
      </c>
      <c r="AF19" s="736">
        <v>7.0321389999999999</v>
      </c>
    </row>
    <row r="20" spans="1:63" s="16" customFormat="1" ht="17.25" customHeight="1" x14ac:dyDescent="0.2">
      <c r="A20" s="276" t="s">
        <v>10</v>
      </c>
      <c r="B20" s="769"/>
      <c r="C20" s="770"/>
      <c r="D20" s="772"/>
      <c r="E20" s="772"/>
      <c r="F20" s="772"/>
      <c r="G20" s="772"/>
      <c r="H20" s="772"/>
      <c r="I20" s="772"/>
      <c r="J20" s="772"/>
      <c r="K20" s="772"/>
      <c r="L20" s="772"/>
      <c r="M20" s="772"/>
      <c r="N20" s="772"/>
      <c r="O20" s="772"/>
      <c r="P20" s="772"/>
      <c r="Q20" s="772"/>
      <c r="R20" s="772"/>
      <c r="S20" s="772"/>
      <c r="T20" s="772"/>
      <c r="U20" s="772"/>
      <c r="V20" s="772"/>
      <c r="W20" s="772"/>
      <c r="X20" s="772"/>
      <c r="Y20" s="772"/>
      <c r="Z20" s="772"/>
      <c r="AA20" s="772"/>
      <c r="AB20" s="772"/>
      <c r="AC20" s="772"/>
      <c r="AD20" s="772"/>
      <c r="AE20" s="772"/>
      <c r="AF20" s="778"/>
    </row>
    <row r="21" spans="1:63" s="16" customFormat="1" ht="17.25" customHeight="1" x14ac:dyDescent="0.2">
      <c r="A21" s="266" t="s">
        <v>303</v>
      </c>
      <c r="B21" s="267">
        <v>100</v>
      </c>
      <c r="C21" s="73">
        <v>84.747860000000003</v>
      </c>
      <c r="D21" s="784">
        <v>97.908879999999996</v>
      </c>
      <c r="E21" s="268">
        <v>92.24297</v>
      </c>
      <c r="F21" s="268">
        <v>88.039529999999999</v>
      </c>
      <c r="G21" s="268">
        <v>86.49306</v>
      </c>
      <c r="H21" s="268">
        <v>104.0745</v>
      </c>
      <c r="I21" s="268">
        <v>90.719260000000006</v>
      </c>
      <c r="J21" s="268">
        <v>82.546490000000006</v>
      </c>
      <c r="K21" s="268">
        <v>105.6357</v>
      </c>
      <c r="L21" s="268">
        <v>99.367270000000005</v>
      </c>
      <c r="M21" s="268">
        <v>100.39879999999999</v>
      </c>
      <c r="N21" s="268">
        <v>91.395560000000003</v>
      </c>
      <c r="O21" s="268">
        <v>95.624979999999994</v>
      </c>
      <c r="P21" s="268">
        <v>81.853250000000003</v>
      </c>
      <c r="Q21" s="268">
        <v>98.492509999999996</v>
      </c>
      <c r="R21" s="268">
        <v>87.654700000000005</v>
      </c>
      <c r="S21" s="872">
        <v>90.408969999999997</v>
      </c>
      <c r="T21" s="268">
        <v>74.882980000000003</v>
      </c>
      <c r="U21" s="268">
        <v>83.817859999999996</v>
      </c>
      <c r="V21" s="268">
        <v>86.866870000000006</v>
      </c>
      <c r="W21" s="268">
        <v>92.554519999999997</v>
      </c>
      <c r="X21" s="268">
        <v>72.133700000000005</v>
      </c>
      <c r="Y21" s="268">
        <v>85.122209999999995</v>
      </c>
      <c r="Z21" s="268">
        <v>107.2491</v>
      </c>
      <c r="AA21" s="268">
        <v>78.27046</v>
      </c>
      <c r="AB21" s="268">
        <v>83.79965</v>
      </c>
      <c r="AC21" s="268">
        <v>93.471649999999997</v>
      </c>
      <c r="AD21" s="268">
        <v>85.022850000000005</v>
      </c>
      <c r="AE21" s="268">
        <v>93.288910000000001</v>
      </c>
      <c r="AF21" s="724">
        <v>81.328739999999996</v>
      </c>
    </row>
    <row r="22" spans="1:63" s="16" customFormat="1" ht="17.25" customHeight="1" x14ac:dyDescent="0.2">
      <c r="A22" s="277" t="s">
        <v>304</v>
      </c>
      <c r="B22" s="278">
        <v>100</v>
      </c>
      <c r="C22" s="76">
        <v>87.110190000000003</v>
      </c>
      <c r="D22" s="361">
        <v>101.6267</v>
      </c>
      <c r="E22" s="361">
        <v>100.8433</v>
      </c>
      <c r="F22" s="361">
        <v>94.024929999999998</v>
      </c>
      <c r="G22" s="361">
        <v>95.165670000000006</v>
      </c>
      <c r="H22" s="361">
        <v>102.20010000000001</v>
      </c>
      <c r="I22" s="361">
        <v>92.981340000000003</v>
      </c>
      <c r="J22" s="361">
        <v>87.265810000000002</v>
      </c>
      <c r="K22" s="361">
        <v>103.2694</v>
      </c>
      <c r="L22" s="361">
        <v>99.809709999999995</v>
      </c>
      <c r="M22" s="361">
        <v>100.1139</v>
      </c>
      <c r="N22" s="361">
        <v>91.505700000000004</v>
      </c>
      <c r="O22" s="361">
        <v>96.032150000000001</v>
      </c>
      <c r="P22" s="361">
        <v>86.452489999999997</v>
      </c>
      <c r="Q22" s="361">
        <v>100.5346</v>
      </c>
      <c r="R22" s="361">
        <v>87.852990000000005</v>
      </c>
      <c r="S22" s="875">
        <v>93.053520000000006</v>
      </c>
      <c r="T22" s="361">
        <v>80.81241</v>
      </c>
      <c r="U22" s="361">
        <v>86.533510000000007</v>
      </c>
      <c r="V22" s="361">
        <v>90.575230000000005</v>
      </c>
      <c r="W22" s="361">
        <v>94.405770000000004</v>
      </c>
      <c r="X22" s="361">
        <v>81.122190000000003</v>
      </c>
      <c r="Y22" s="361">
        <v>87.698009999999996</v>
      </c>
      <c r="Z22" s="361">
        <v>102.86539999999999</v>
      </c>
      <c r="AA22" s="361">
        <v>81.107219999999998</v>
      </c>
      <c r="AB22" s="361">
        <v>85.948340000000002</v>
      </c>
      <c r="AC22" s="361">
        <v>95.194969999999998</v>
      </c>
      <c r="AD22" s="361">
        <v>84.831280000000007</v>
      </c>
      <c r="AE22" s="361">
        <v>92.919730000000001</v>
      </c>
      <c r="AF22" s="732">
        <v>79.561000000000007</v>
      </c>
    </row>
    <row r="23" spans="1:63" s="16" customFormat="1" ht="17.25" customHeight="1" x14ac:dyDescent="0.2">
      <c r="A23" s="422" t="s">
        <v>319</v>
      </c>
      <c r="B23" s="278">
        <v>100</v>
      </c>
      <c r="C23" s="76">
        <v>103.0031</v>
      </c>
      <c r="D23" s="361">
        <v>111.2916</v>
      </c>
      <c r="E23" s="361">
        <v>100.0035</v>
      </c>
      <c r="F23" s="361">
        <v>99.218500000000006</v>
      </c>
      <c r="G23" s="361">
        <v>106.25839999999999</v>
      </c>
      <c r="H23" s="361">
        <v>103.40649999999999</v>
      </c>
      <c r="I23" s="361">
        <v>103.61960000000001</v>
      </c>
      <c r="J23" s="361">
        <v>100.813</v>
      </c>
      <c r="K23" s="361">
        <v>98.109129999999993</v>
      </c>
      <c r="L23" s="361">
        <v>106.16889999999999</v>
      </c>
      <c r="M23" s="361">
        <v>101.5609</v>
      </c>
      <c r="N23" s="361">
        <v>103.43259999999999</v>
      </c>
      <c r="O23" s="361">
        <v>101.2881</v>
      </c>
      <c r="P23" s="361">
        <v>105.1238</v>
      </c>
      <c r="Q23" s="361">
        <v>99.732209999999995</v>
      </c>
      <c r="R23" s="361">
        <v>98.973820000000003</v>
      </c>
      <c r="S23" s="875">
        <v>100.07980000000001</v>
      </c>
      <c r="T23" s="361">
        <v>106.17749999999999</v>
      </c>
      <c r="U23" s="361">
        <v>108.49160000000001</v>
      </c>
      <c r="V23" s="361">
        <v>109.2466</v>
      </c>
      <c r="W23" s="361">
        <v>111.5851</v>
      </c>
      <c r="X23" s="361">
        <v>105.961</v>
      </c>
      <c r="Y23" s="361">
        <v>105.9027</v>
      </c>
      <c r="Z23" s="361">
        <v>108.4772</v>
      </c>
      <c r="AA23" s="361">
        <v>104.38160000000001</v>
      </c>
      <c r="AB23" s="361">
        <v>108.3188</v>
      </c>
      <c r="AC23" s="361">
        <v>107.2563</v>
      </c>
      <c r="AD23" s="361">
        <v>108.2159</v>
      </c>
      <c r="AE23" s="361">
        <v>112.9289</v>
      </c>
      <c r="AF23" s="732">
        <v>109.633</v>
      </c>
    </row>
    <row r="24" spans="1:63" s="16" customFormat="1" ht="17.25" customHeight="1" x14ac:dyDescent="0.2">
      <c r="A24" s="277" t="s">
        <v>305</v>
      </c>
      <c r="B24" s="278">
        <v>100</v>
      </c>
      <c r="C24" s="76">
        <v>98.644760000000005</v>
      </c>
      <c r="D24" s="361">
        <v>118.5483</v>
      </c>
      <c r="E24" s="361">
        <v>102.732</v>
      </c>
      <c r="F24" s="361">
        <v>95.070970000000003</v>
      </c>
      <c r="G24" s="361">
        <v>106.22</v>
      </c>
      <c r="H24" s="361">
        <v>100.20699999999999</v>
      </c>
      <c r="I24" s="361">
        <v>93.726320000000001</v>
      </c>
      <c r="J24" s="361">
        <v>97.433099999999996</v>
      </c>
      <c r="K24" s="361">
        <v>96.551299999999998</v>
      </c>
      <c r="L24" s="361">
        <v>113.15819999999999</v>
      </c>
      <c r="M24" s="361">
        <v>99.690790000000007</v>
      </c>
      <c r="N24" s="361">
        <v>98.849969999999999</v>
      </c>
      <c r="O24" s="361">
        <v>95.797690000000003</v>
      </c>
      <c r="P24" s="361">
        <v>98.30377</v>
      </c>
      <c r="Q24" s="361">
        <v>96.576650000000001</v>
      </c>
      <c r="R24" s="361">
        <v>97.566980000000001</v>
      </c>
      <c r="S24" s="875">
        <v>98.480260000000001</v>
      </c>
      <c r="T24" s="361">
        <v>96.615539999999996</v>
      </c>
      <c r="U24" s="361">
        <v>99.564229999999995</v>
      </c>
      <c r="V24" s="361">
        <v>106.9569</v>
      </c>
      <c r="W24" s="361">
        <v>105.6007</v>
      </c>
      <c r="X24" s="361">
        <v>98.143469999999994</v>
      </c>
      <c r="Y24" s="361">
        <v>98.894019999999998</v>
      </c>
      <c r="Z24" s="361">
        <v>106.8146</v>
      </c>
      <c r="AA24" s="361">
        <v>97.231089999999995</v>
      </c>
      <c r="AB24" s="361">
        <v>106.6983</v>
      </c>
      <c r="AC24" s="361">
        <v>103.51560000000001</v>
      </c>
      <c r="AD24" s="361">
        <v>107.2752</v>
      </c>
      <c r="AE24" s="361">
        <v>114.6061</v>
      </c>
      <c r="AF24" s="732">
        <v>106.2436</v>
      </c>
    </row>
    <row r="25" spans="1:63" s="16" customFormat="1" ht="17.25" customHeight="1" x14ac:dyDescent="0.2">
      <c r="A25" s="277" t="s">
        <v>306</v>
      </c>
      <c r="B25" s="280">
        <v>100</v>
      </c>
      <c r="C25" s="142">
        <v>95.897729999999996</v>
      </c>
      <c r="D25" s="364">
        <v>110.08199999999999</v>
      </c>
      <c r="E25" s="364">
        <v>101.45350000000001</v>
      </c>
      <c r="F25" s="364">
        <v>96.882329999999996</v>
      </c>
      <c r="G25" s="364">
        <v>106.64</v>
      </c>
      <c r="H25" s="364">
        <v>99.587159999999997</v>
      </c>
      <c r="I25" s="364">
        <v>90.476219999999998</v>
      </c>
      <c r="J25" s="364">
        <v>90.580529999999996</v>
      </c>
      <c r="K25" s="364">
        <v>101.938</v>
      </c>
      <c r="L25" s="364">
        <v>101.4204</v>
      </c>
      <c r="M25" s="364">
        <v>103.5963</v>
      </c>
      <c r="N25" s="364">
        <v>97.460449999999994</v>
      </c>
      <c r="O25" s="364">
        <v>100.90430000000001</v>
      </c>
      <c r="P25" s="364">
        <v>98.105950000000007</v>
      </c>
      <c r="Q25" s="364">
        <v>99.417879999999997</v>
      </c>
      <c r="R25" s="364">
        <v>94.489199999999997</v>
      </c>
      <c r="S25" s="876">
        <v>98.822670000000002</v>
      </c>
      <c r="T25" s="364">
        <v>94.76294</v>
      </c>
      <c r="U25" s="364">
        <v>93.180800000000005</v>
      </c>
      <c r="V25" s="364">
        <v>99.078069999999997</v>
      </c>
      <c r="W25" s="364">
        <v>105.4366</v>
      </c>
      <c r="X25" s="364">
        <v>97.235830000000007</v>
      </c>
      <c r="Y25" s="364">
        <v>97.964979999999997</v>
      </c>
      <c r="Z25" s="364">
        <v>99.837720000000004</v>
      </c>
      <c r="AA25" s="364">
        <v>99.082049999999995</v>
      </c>
      <c r="AB25" s="364">
        <v>99.216949999999997</v>
      </c>
      <c r="AC25" s="364">
        <v>99.790369999999996</v>
      </c>
      <c r="AD25" s="364">
        <v>96.588269999999994</v>
      </c>
      <c r="AE25" s="364">
        <v>105.82080000000001</v>
      </c>
      <c r="AF25" s="729">
        <v>101.23520000000001</v>
      </c>
    </row>
    <row r="26" spans="1:63" s="16" customFormat="1" ht="15" customHeight="1" x14ac:dyDescent="0.2">
      <c r="A26" s="285" t="s">
        <v>23</v>
      </c>
      <c r="B26" s="779"/>
      <c r="C26" s="780"/>
      <c r="D26" s="772"/>
      <c r="E26" s="772"/>
      <c r="F26" s="772"/>
      <c r="G26" s="772"/>
      <c r="H26" s="772"/>
      <c r="I26" s="772"/>
      <c r="J26" s="772"/>
      <c r="K26" s="772"/>
      <c r="L26" s="772"/>
      <c r="M26" s="772"/>
      <c r="N26" s="772"/>
      <c r="O26" s="772"/>
      <c r="P26" s="772"/>
      <c r="Q26" s="772"/>
      <c r="R26" s="772"/>
      <c r="S26" s="772"/>
      <c r="T26" s="772"/>
      <c r="U26" s="772"/>
      <c r="V26" s="772"/>
      <c r="W26" s="772"/>
      <c r="X26" s="772"/>
      <c r="Y26" s="772"/>
      <c r="Z26" s="772"/>
      <c r="AA26" s="772"/>
      <c r="AB26" s="772"/>
      <c r="AC26" s="772"/>
      <c r="AD26" s="893"/>
      <c r="AE26" s="772"/>
      <c r="AF26" s="778"/>
    </row>
    <row r="27" spans="1:63" s="16" customFormat="1" ht="17.25" customHeight="1" x14ac:dyDescent="0.2">
      <c r="A27" s="421" t="s">
        <v>300</v>
      </c>
      <c r="B27" s="267">
        <v>100</v>
      </c>
      <c r="C27" s="73">
        <v>100.0176</v>
      </c>
      <c r="D27" s="268">
        <v>104.22199999999999</v>
      </c>
      <c r="E27" s="268">
        <v>108.2872</v>
      </c>
      <c r="F27" s="268">
        <v>109.6408</v>
      </c>
      <c r="G27" s="268">
        <v>102.538</v>
      </c>
      <c r="H27" s="268">
        <v>106.9346</v>
      </c>
      <c r="I27" s="268">
        <v>105.08620000000001</v>
      </c>
      <c r="J27" s="268">
        <v>102.7313</v>
      </c>
      <c r="K27" s="268">
        <v>109.6964</v>
      </c>
      <c r="L27" s="268">
        <v>110.7527</v>
      </c>
      <c r="M27" s="268">
        <v>114.0758</v>
      </c>
      <c r="N27" s="268">
        <v>103.1002</v>
      </c>
      <c r="O27" s="268">
        <v>104.70820000000001</v>
      </c>
      <c r="P27" s="268">
        <v>103.2955</v>
      </c>
      <c r="Q27" s="268">
        <v>105.2144</v>
      </c>
      <c r="R27" s="268">
        <v>92.401169999999993</v>
      </c>
      <c r="S27" s="872">
        <v>111.6336</v>
      </c>
      <c r="T27" s="268">
        <v>103.1473</v>
      </c>
      <c r="U27" s="268">
        <v>99.475359999999995</v>
      </c>
      <c r="V27" s="268">
        <v>100.2047</v>
      </c>
      <c r="W27" s="268">
        <v>100.3921</v>
      </c>
      <c r="X27" s="268">
        <v>99.253010000000003</v>
      </c>
      <c r="Y27" s="268">
        <v>91.534090000000006</v>
      </c>
      <c r="Z27" s="268">
        <v>102.5348</v>
      </c>
      <c r="AA27" s="268">
        <v>90.960459999999998</v>
      </c>
      <c r="AB27" s="268">
        <v>94.450909999999993</v>
      </c>
      <c r="AC27" s="268">
        <v>100.1611</v>
      </c>
      <c r="AD27" s="268">
        <v>91.644000000000005</v>
      </c>
      <c r="AE27" s="268">
        <v>86.502189999999999</v>
      </c>
      <c r="AF27" s="724">
        <v>81.989850000000004</v>
      </c>
    </row>
    <row r="28" spans="1:63" s="234" customFormat="1" ht="17.25" customHeight="1" x14ac:dyDescent="0.2">
      <c r="A28" s="471" t="s">
        <v>328</v>
      </c>
      <c r="B28" s="287">
        <f>65+6.09166621</f>
        <v>71.09166621</v>
      </c>
      <c r="C28" s="83">
        <f>65+4.925398</f>
        <v>69.925398000000001</v>
      </c>
      <c r="D28" s="271">
        <f>65+6.550555</f>
        <v>71.550555000000003</v>
      </c>
      <c r="E28" s="271">
        <f>65+4.444763</f>
        <v>69.444762999999995</v>
      </c>
      <c r="F28" s="271">
        <f>65+2.65969</f>
        <v>67.659689999999998</v>
      </c>
      <c r="G28" s="271">
        <f>65+4.946338</f>
        <v>69.946337999999997</v>
      </c>
      <c r="H28" s="271">
        <f>65+2.83542</f>
        <v>67.835419999999999</v>
      </c>
      <c r="I28" s="271">
        <f>65+3.882222</f>
        <v>68.882221999999999</v>
      </c>
      <c r="J28" s="271">
        <f>65+3.434398</f>
        <v>68.434398000000002</v>
      </c>
      <c r="K28" s="271">
        <f>65+3.43872</f>
        <v>68.438720000000004</v>
      </c>
      <c r="L28" s="271">
        <f>65+5.493889</f>
        <v>70.493888999999996</v>
      </c>
      <c r="M28" s="271">
        <f>65+2.106534</f>
        <v>67.106533999999996</v>
      </c>
      <c r="N28" s="271">
        <f>65+2.889015</f>
        <v>67.889015000000001</v>
      </c>
      <c r="O28" s="271">
        <f>65+3.454098</f>
        <v>68.454098000000002</v>
      </c>
      <c r="P28" s="271">
        <f>65+3.790596</f>
        <v>68.790595999999994</v>
      </c>
      <c r="Q28" s="271">
        <f>65+3.391235</f>
        <v>68.391234999999995</v>
      </c>
      <c r="R28" s="271">
        <f>65+5.213863</f>
        <v>70.213863000000003</v>
      </c>
      <c r="S28" s="873">
        <f>65+3.909511</f>
        <v>68.909510999999995</v>
      </c>
      <c r="T28" s="271">
        <f>65+5.858038</f>
        <v>70.858037999999993</v>
      </c>
      <c r="U28" s="271">
        <f>65+3.920438</f>
        <v>68.920438000000004</v>
      </c>
      <c r="V28" s="271">
        <f>65+3.350682</f>
        <v>68.350682000000006</v>
      </c>
      <c r="W28" s="271">
        <f>65+5.651949</f>
        <v>70.651949000000002</v>
      </c>
      <c r="X28" s="271">
        <f>65+4.937037</f>
        <v>69.937037000000004</v>
      </c>
      <c r="Y28" s="271">
        <f>65+5.320562</f>
        <v>70.320561999999995</v>
      </c>
      <c r="Z28" s="271">
        <f>65+5.933496</f>
        <v>70.933496000000005</v>
      </c>
      <c r="AA28" s="271">
        <f>65+8.529329</f>
        <v>73.529329000000004</v>
      </c>
      <c r="AB28" s="271">
        <f>65+5.36133</f>
        <v>70.361329999999995</v>
      </c>
      <c r="AC28" s="271">
        <f>65+6.715667</f>
        <v>71.715666999999996</v>
      </c>
      <c r="AD28" s="271">
        <f>65+6.366098</f>
        <v>71.366097999999994</v>
      </c>
      <c r="AE28" s="271">
        <f>65+8.409015</f>
        <v>73.409014999999997</v>
      </c>
      <c r="AF28" s="725">
        <f>65+7.71528</f>
        <v>72.715280000000007</v>
      </c>
    </row>
    <row r="29" spans="1:63" s="16" customFormat="1" ht="17.25" customHeight="1" x14ac:dyDescent="0.2">
      <c r="A29" s="422" t="s">
        <v>301</v>
      </c>
      <c r="B29" s="278">
        <v>100</v>
      </c>
      <c r="C29" s="76">
        <v>94.91583</v>
      </c>
      <c r="D29" s="361">
        <v>102.4838</v>
      </c>
      <c r="E29" s="361">
        <v>96.048310000000001</v>
      </c>
      <c r="F29" s="361">
        <v>90.940190000000001</v>
      </c>
      <c r="G29" s="361">
        <v>93.331419999999994</v>
      </c>
      <c r="H29" s="361">
        <v>90.107389999999995</v>
      </c>
      <c r="I29" s="361">
        <v>92.628450000000001</v>
      </c>
      <c r="J29" s="361">
        <v>94.327590000000001</v>
      </c>
      <c r="K29" s="361">
        <v>96.423469999999995</v>
      </c>
      <c r="L29" s="361">
        <v>99.779529999999994</v>
      </c>
      <c r="M29" s="361">
        <v>92.39237</v>
      </c>
      <c r="N29" s="361">
        <v>98.032420000000002</v>
      </c>
      <c r="O29" s="361">
        <v>87.52552</v>
      </c>
      <c r="P29" s="361">
        <v>96.155360000000002</v>
      </c>
      <c r="Q29" s="361">
        <v>89.591999999999999</v>
      </c>
      <c r="R29" s="361">
        <v>94.015519999999995</v>
      </c>
      <c r="S29" s="875">
        <v>89.760760000000005</v>
      </c>
      <c r="T29" s="361">
        <v>92.009979999999999</v>
      </c>
      <c r="U29" s="361">
        <v>98.893119999999996</v>
      </c>
      <c r="V29" s="361">
        <v>101.3556</v>
      </c>
      <c r="W29" s="361">
        <v>103.4414</v>
      </c>
      <c r="X29" s="361">
        <v>96.519919999999999</v>
      </c>
      <c r="Y29" s="361">
        <v>100.8792</v>
      </c>
      <c r="Z29" s="361">
        <v>100.2949</v>
      </c>
      <c r="AA29" s="361">
        <v>90.838229999999996</v>
      </c>
      <c r="AB29" s="361">
        <v>99.057149999999993</v>
      </c>
      <c r="AC29" s="361">
        <v>105.7886</v>
      </c>
      <c r="AD29" s="361">
        <v>99.723299999999995</v>
      </c>
      <c r="AE29" s="361">
        <v>107.345</v>
      </c>
      <c r="AF29" s="732">
        <v>109.7418</v>
      </c>
    </row>
    <row r="30" spans="1:63" s="16" customFormat="1" ht="17.25" customHeight="1" x14ac:dyDescent="0.2">
      <c r="A30" s="489" t="s">
        <v>323</v>
      </c>
      <c r="B30" s="287">
        <f>65+7.781876278</f>
        <v>72.781876277999999</v>
      </c>
      <c r="C30" s="83">
        <f>65+8.435909</f>
        <v>73.435908999999995</v>
      </c>
      <c r="D30" s="271">
        <f>65+11.31224</f>
        <v>76.312240000000003</v>
      </c>
      <c r="E30" s="271">
        <f>65+8.323625</f>
        <v>73.323624999999993</v>
      </c>
      <c r="F30" s="271">
        <f>65+8.675254</f>
        <v>73.675253999999995</v>
      </c>
      <c r="G30" s="271">
        <f>65+10.77154</f>
        <v>75.771540000000002</v>
      </c>
      <c r="H30" s="271">
        <f>65+8.641897</f>
        <v>73.641897</v>
      </c>
      <c r="I30" s="271">
        <f>65+7.848902</f>
        <v>72.848901999999995</v>
      </c>
      <c r="J30" s="271">
        <f>65+7.472043</f>
        <v>72.472042999999999</v>
      </c>
      <c r="K30" s="271">
        <f>65+10.07324</f>
        <v>75.073239999999998</v>
      </c>
      <c r="L30" s="271">
        <f>65+10.7989</f>
        <v>75.798900000000003</v>
      </c>
      <c r="M30" s="271">
        <f>65+7.030866</f>
        <v>72.030866000000003</v>
      </c>
      <c r="N30" s="271">
        <f>65+8.265343</f>
        <v>73.265343000000001</v>
      </c>
      <c r="O30" s="271">
        <f>65+9.132859</f>
        <v>74.132858999999996</v>
      </c>
      <c r="P30" s="271">
        <f>65+8.037471</f>
        <v>73.037470999999996</v>
      </c>
      <c r="Q30" s="271">
        <f>65+8.100896</f>
        <v>73.100896000000006</v>
      </c>
      <c r="R30" s="271">
        <f>65+9.982891</f>
        <v>74.982890999999995</v>
      </c>
      <c r="S30" s="873">
        <f>65+8.987166</f>
        <v>73.987166000000002</v>
      </c>
      <c r="T30" s="271">
        <f>65+9.465669</f>
        <v>74.465669000000005</v>
      </c>
      <c r="U30" s="271">
        <f>65+7.490815</f>
        <v>72.490814999999998</v>
      </c>
      <c r="V30" s="271">
        <f>65+8.278676</f>
        <v>73.278676000000004</v>
      </c>
      <c r="W30" s="271">
        <f>65+7.800307</f>
        <v>72.800307000000004</v>
      </c>
      <c r="X30" s="271">
        <f>65+7.641691</f>
        <v>72.641690999999994</v>
      </c>
      <c r="Y30" s="271">
        <f>65+8.000139</f>
        <v>73.000139000000004</v>
      </c>
      <c r="Z30" s="271">
        <f>65+7.375757</f>
        <v>72.375756999999993</v>
      </c>
      <c r="AA30" s="271">
        <f>65+9.224609</f>
        <v>74.224609000000001</v>
      </c>
      <c r="AB30" s="271">
        <f>65+9.112483</f>
        <v>74.112482999999997</v>
      </c>
      <c r="AC30" s="271">
        <f>65+7.595714</f>
        <v>72.595714000000001</v>
      </c>
      <c r="AD30" s="271">
        <f>65+8.072859</f>
        <v>73.072858999999994</v>
      </c>
      <c r="AE30" s="271">
        <f>65+9.78701</f>
        <v>74.787009999999995</v>
      </c>
      <c r="AF30" s="725">
        <f>65+6.841813</f>
        <v>71.841813000000002</v>
      </c>
      <c r="AH30" s="261"/>
      <c r="AI30" s="261"/>
      <c r="AJ30" s="261"/>
      <c r="AK30" s="261"/>
      <c r="AL30" s="261"/>
      <c r="AM30" s="261"/>
      <c r="AN30" s="261"/>
      <c r="AO30" s="261"/>
      <c r="AP30" s="261"/>
      <c r="AQ30" s="261"/>
      <c r="AR30" s="261"/>
      <c r="AS30" s="261"/>
      <c r="AT30" s="261"/>
      <c r="AU30" s="261"/>
      <c r="AV30" s="261"/>
      <c r="AW30" s="261"/>
      <c r="AX30" s="261"/>
      <c r="AY30" s="261"/>
      <c r="AZ30" s="261"/>
      <c r="BA30" s="261"/>
    </row>
    <row r="31" spans="1:63" s="16" customFormat="1" ht="17.25" customHeight="1" x14ac:dyDescent="0.2">
      <c r="A31" s="422" t="s">
        <v>302</v>
      </c>
      <c r="B31" s="278">
        <v>100</v>
      </c>
      <c r="C31" s="76">
        <v>98.994249999999994</v>
      </c>
      <c r="D31" s="361">
        <v>110.6985</v>
      </c>
      <c r="E31" s="361">
        <v>100.0324</v>
      </c>
      <c r="F31" s="361">
        <v>93.570350000000005</v>
      </c>
      <c r="G31" s="361">
        <v>111.4577</v>
      </c>
      <c r="H31" s="361">
        <v>100.39960000000001</v>
      </c>
      <c r="I31" s="361">
        <v>90.825450000000004</v>
      </c>
      <c r="J31" s="361">
        <v>97.125579999999999</v>
      </c>
      <c r="K31" s="361">
        <v>101.571</v>
      </c>
      <c r="L31" s="361">
        <v>103.8386</v>
      </c>
      <c r="M31" s="361">
        <v>95.00121</v>
      </c>
      <c r="N31" s="361">
        <v>100.71420000000001</v>
      </c>
      <c r="O31" s="361">
        <v>96.762780000000006</v>
      </c>
      <c r="P31" s="361">
        <v>102.9768</v>
      </c>
      <c r="Q31" s="361">
        <v>96.223789999999994</v>
      </c>
      <c r="R31" s="361">
        <v>98.651290000000003</v>
      </c>
      <c r="S31" s="875">
        <v>96.765060000000005</v>
      </c>
      <c r="T31" s="361">
        <v>95.518919999999994</v>
      </c>
      <c r="U31" s="361">
        <v>99.60324</v>
      </c>
      <c r="V31" s="361">
        <v>101.4849</v>
      </c>
      <c r="W31" s="361">
        <v>102.60509999999999</v>
      </c>
      <c r="X31" s="361">
        <v>97.079430000000002</v>
      </c>
      <c r="Y31" s="361">
        <v>101.289</v>
      </c>
      <c r="Z31" s="361">
        <v>104.0264</v>
      </c>
      <c r="AA31" s="361">
        <v>95.733270000000005</v>
      </c>
      <c r="AB31" s="361">
        <v>104.06480000000001</v>
      </c>
      <c r="AC31" s="361">
        <v>98.09187</v>
      </c>
      <c r="AD31" s="361">
        <v>102.9366</v>
      </c>
      <c r="AE31" s="361">
        <v>108.31910000000001</v>
      </c>
      <c r="AF31" s="732">
        <v>102.1855</v>
      </c>
    </row>
    <row r="32" spans="1:63" s="16" customFormat="1" ht="17.25" customHeight="1" x14ac:dyDescent="0.2">
      <c r="A32" s="291" t="s">
        <v>229</v>
      </c>
      <c r="B32" s="292">
        <v>100</v>
      </c>
      <c r="C32" s="329">
        <v>96.079710000000006</v>
      </c>
      <c r="D32" s="364">
        <v>106.5335</v>
      </c>
      <c r="E32" s="366">
        <v>104.5462</v>
      </c>
      <c r="F32" s="366">
        <v>95.039619999999999</v>
      </c>
      <c r="G32" s="366">
        <v>102.0493</v>
      </c>
      <c r="H32" s="366">
        <v>100.923</v>
      </c>
      <c r="I32" s="366">
        <v>92.162379999999999</v>
      </c>
      <c r="J32" s="366">
        <v>94.892290000000003</v>
      </c>
      <c r="K32" s="366">
        <v>100.407</v>
      </c>
      <c r="L32" s="366">
        <v>101.6601</v>
      </c>
      <c r="M32" s="366">
        <v>98.894130000000004</v>
      </c>
      <c r="N32" s="366">
        <v>100.52979999999999</v>
      </c>
      <c r="O32" s="366">
        <v>95.555239999999998</v>
      </c>
      <c r="P32" s="366">
        <v>97.468999999999994</v>
      </c>
      <c r="Q32" s="366">
        <v>94.093980000000002</v>
      </c>
      <c r="R32" s="366">
        <v>95.681659999999994</v>
      </c>
      <c r="S32" s="880">
        <v>97.148340000000005</v>
      </c>
      <c r="T32" s="366">
        <v>93.459639999999993</v>
      </c>
      <c r="U32" s="366">
        <v>96.249709999999993</v>
      </c>
      <c r="V32" s="366">
        <v>99.939430000000002</v>
      </c>
      <c r="W32" s="366">
        <v>102.71810000000001</v>
      </c>
      <c r="X32" s="366">
        <v>95.158230000000003</v>
      </c>
      <c r="Y32" s="366">
        <v>98.904300000000006</v>
      </c>
      <c r="Z32" s="366">
        <v>105.8875</v>
      </c>
      <c r="AA32" s="366">
        <v>98.825729999999993</v>
      </c>
      <c r="AB32" s="366">
        <v>96.984399999999994</v>
      </c>
      <c r="AC32" s="366">
        <v>97.701920000000001</v>
      </c>
      <c r="AD32" s="366">
        <v>95.829580000000007</v>
      </c>
      <c r="AE32" s="366">
        <v>106.4449</v>
      </c>
      <c r="AF32" s="881">
        <v>105.2718</v>
      </c>
    </row>
    <row r="33" spans="1:32" s="16" customFormat="1" ht="17.25" customHeight="1" x14ac:dyDescent="0.2">
      <c r="A33" s="295" t="s">
        <v>14</v>
      </c>
      <c r="B33" s="746"/>
      <c r="C33" s="746"/>
      <c r="D33" s="746"/>
      <c r="E33" s="897"/>
      <c r="F33" s="748"/>
      <c r="G33" s="748"/>
      <c r="H33" s="748"/>
      <c r="I33" s="748"/>
      <c r="J33" s="748"/>
      <c r="K33" s="748"/>
      <c r="L33" s="748"/>
      <c r="M33" s="748"/>
      <c r="N33" s="748"/>
      <c r="O33" s="748"/>
      <c r="P33" s="748"/>
      <c r="Q33" s="748"/>
      <c r="R33" s="748"/>
      <c r="S33" s="898"/>
      <c r="T33" s="748"/>
      <c r="U33" s="748"/>
      <c r="V33" s="748"/>
      <c r="W33" s="748"/>
      <c r="X33" s="748"/>
      <c r="Y33" s="748"/>
      <c r="Z33" s="748"/>
      <c r="AA33" s="748"/>
      <c r="AB33" s="748"/>
      <c r="AC33" s="748"/>
      <c r="AD33" s="748"/>
      <c r="AE33" s="748"/>
      <c r="AF33" s="749"/>
    </row>
    <row r="34" spans="1:32" s="16" customFormat="1" ht="17.25" customHeight="1" x14ac:dyDescent="0.2">
      <c r="A34" s="303" t="s">
        <v>214</v>
      </c>
      <c r="B34" s="203">
        <v>5.7111111111111104</v>
      </c>
      <c r="C34" s="203">
        <v>5.6444444444444439</v>
      </c>
      <c r="D34" s="718">
        <v>5.0999999999999996</v>
      </c>
      <c r="E34" s="503">
        <v>7.4</v>
      </c>
      <c r="F34" s="306">
        <v>8.1</v>
      </c>
      <c r="G34" s="335">
        <v>7.9</v>
      </c>
      <c r="H34" s="306">
        <v>4.2</v>
      </c>
      <c r="I34" s="306">
        <v>6.2</v>
      </c>
      <c r="J34" s="305">
        <v>6.9</v>
      </c>
      <c r="K34" s="335">
        <v>2.9</v>
      </c>
      <c r="L34" s="335">
        <v>4.9000000000000004</v>
      </c>
      <c r="M34" s="306">
        <v>6.8</v>
      </c>
      <c r="N34" s="335">
        <v>5.9</v>
      </c>
      <c r="O34" s="306">
        <v>6.1</v>
      </c>
      <c r="P34" s="335">
        <v>4.7</v>
      </c>
      <c r="Q34" s="306">
        <v>7</v>
      </c>
      <c r="R34" s="305">
        <v>4.9000000000000004</v>
      </c>
      <c r="S34" s="378">
        <v>6.4</v>
      </c>
      <c r="T34" s="503">
        <v>7.5</v>
      </c>
      <c r="U34" s="335">
        <v>4.3</v>
      </c>
      <c r="V34" s="335">
        <v>6.2</v>
      </c>
      <c r="W34" s="305">
        <v>5.2</v>
      </c>
      <c r="X34" s="335">
        <v>6.9</v>
      </c>
      <c r="Y34" s="335">
        <v>7.1</v>
      </c>
      <c r="Z34" s="503">
        <v>8.3000000000000007</v>
      </c>
      <c r="AA34" s="335">
        <v>6.6</v>
      </c>
      <c r="AB34" s="503">
        <v>8.4</v>
      </c>
      <c r="AC34" s="305">
        <v>4</v>
      </c>
      <c r="AD34" s="305">
        <v>4.5999999999999996</v>
      </c>
      <c r="AE34" s="335">
        <v>6.2</v>
      </c>
      <c r="AF34" s="870">
        <v>5</v>
      </c>
    </row>
    <row r="35" spans="1:32" s="16" customFormat="1" ht="17.25" customHeight="1" x14ac:dyDescent="0.2">
      <c r="A35" s="307" t="s">
        <v>215</v>
      </c>
      <c r="B35" s="203">
        <v>5.177777777777778</v>
      </c>
      <c r="C35" s="203">
        <v>4.4777777777777779</v>
      </c>
      <c r="D35" s="719" t="s">
        <v>5</v>
      </c>
      <c r="E35" s="448">
        <v>5.0999999999999996</v>
      </c>
      <c r="F35" s="273">
        <v>5.6</v>
      </c>
      <c r="G35" s="271" t="s">
        <v>226</v>
      </c>
      <c r="H35" s="453">
        <v>4.2</v>
      </c>
      <c r="I35" s="273" t="s">
        <v>5</v>
      </c>
      <c r="J35" s="271">
        <v>4.9000000000000004</v>
      </c>
      <c r="K35" s="309">
        <v>4.3</v>
      </c>
      <c r="L35" s="273" t="s">
        <v>5</v>
      </c>
      <c r="M35" s="273">
        <v>4.2</v>
      </c>
      <c r="N35" s="273" t="s">
        <v>5</v>
      </c>
      <c r="O35" s="273">
        <v>3.7</v>
      </c>
      <c r="P35" s="448">
        <v>5.3</v>
      </c>
      <c r="Q35" s="273">
        <v>4.0999999999999996</v>
      </c>
      <c r="R35" s="271">
        <v>4.5999999999999996</v>
      </c>
      <c r="S35" s="357">
        <v>4</v>
      </c>
      <c r="T35" s="448">
        <v>5.5</v>
      </c>
      <c r="U35" s="271">
        <v>5.4</v>
      </c>
      <c r="V35" s="273" t="s">
        <v>5</v>
      </c>
      <c r="W35" s="448">
        <v>5</v>
      </c>
      <c r="X35" s="271">
        <v>4.5999999999999996</v>
      </c>
      <c r="Y35" s="309">
        <v>5.2</v>
      </c>
      <c r="Z35" s="448">
        <v>5.0999999999999996</v>
      </c>
      <c r="AA35" s="309">
        <v>4.3</v>
      </c>
      <c r="AB35" s="448">
        <v>4.8</v>
      </c>
      <c r="AC35" s="271">
        <v>2.8</v>
      </c>
      <c r="AD35" s="309">
        <v>4.4000000000000004</v>
      </c>
      <c r="AE35" s="273" t="s">
        <v>5</v>
      </c>
      <c r="AF35" s="743">
        <v>4.5</v>
      </c>
    </row>
    <row r="36" spans="1:32" s="16" customFormat="1" ht="17.25" customHeight="1" x14ac:dyDescent="0.2">
      <c r="A36" s="299" t="s">
        <v>216</v>
      </c>
      <c r="B36" s="205">
        <v>6.4279999999999999</v>
      </c>
      <c r="C36" s="203">
        <v>6.5</v>
      </c>
      <c r="D36" s="720" t="s">
        <v>5</v>
      </c>
      <c r="E36" s="454" t="s">
        <v>5</v>
      </c>
      <c r="F36" s="313">
        <v>6.8</v>
      </c>
      <c r="G36" s="301">
        <v>6.7</v>
      </c>
      <c r="H36" s="313">
        <v>7</v>
      </c>
      <c r="I36" s="313" t="s">
        <v>5</v>
      </c>
      <c r="J36" s="301">
        <v>6.4</v>
      </c>
      <c r="K36" s="331" t="s">
        <v>196</v>
      </c>
      <c r="L36" s="313" t="s">
        <v>5</v>
      </c>
      <c r="M36" s="313" t="s">
        <v>292</v>
      </c>
      <c r="N36" s="313" t="s">
        <v>5</v>
      </c>
      <c r="O36" s="313">
        <v>6.2</v>
      </c>
      <c r="P36" s="301">
        <v>6.5</v>
      </c>
      <c r="Q36" s="313">
        <v>7</v>
      </c>
      <c r="R36" s="301">
        <v>5.8</v>
      </c>
      <c r="S36" s="312">
        <v>7.2</v>
      </c>
      <c r="T36" s="454" t="s">
        <v>5</v>
      </c>
      <c r="U36" s="301">
        <v>6.4</v>
      </c>
      <c r="V36" s="313" t="s">
        <v>5</v>
      </c>
      <c r="W36" s="301">
        <v>6.6</v>
      </c>
      <c r="X36" s="301">
        <v>6.3</v>
      </c>
      <c r="Y36" s="331" t="s">
        <v>107</v>
      </c>
      <c r="Z36" s="454" t="s">
        <v>5</v>
      </c>
      <c r="AA36" s="454" t="s">
        <v>5</v>
      </c>
      <c r="AB36" s="454" t="s">
        <v>5</v>
      </c>
      <c r="AC36" s="301">
        <v>7.4</v>
      </c>
      <c r="AD36" s="301">
        <v>6.6</v>
      </c>
      <c r="AE36" s="313" t="s">
        <v>5</v>
      </c>
      <c r="AF36" s="738">
        <v>7.1</v>
      </c>
    </row>
    <row r="37" spans="1:32" s="16" customFormat="1" ht="11.25" customHeight="1" x14ac:dyDescent="0.2">
      <c r="A37" s="889"/>
      <c r="B37" s="890"/>
      <c r="C37" s="891"/>
      <c r="D37" s="892"/>
      <c r="E37" s="893"/>
      <c r="F37" s="772"/>
      <c r="G37" s="772"/>
      <c r="H37" s="772"/>
      <c r="I37" s="772"/>
      <c r="J37" s="893"/>
      <c r="K37" s="772"/>
      <c r="L37" s="772"/>
      <c r="M37" s="772"/>
      <c r="N37" s="772"/>
      <c r="O37" s="772"/>
      <c r="P37" s="772"/>
      <c r="Q37" s="772"/>
      <c r="R37" s="772"/>
      <c r="S37" s="894"/>
      <c r="T37" s="772"/>
      <c r="U37" s="772"/>
      <c r="V37" s="772"/>
      <c r="W37" s="772"/>
      <c r="X37" s="772"/>
      <c r="Y37" s="772"/>
      <c r="Z37" s="772"/>
      <c r="AA37" s="772"/>
      <c r="AB37" s="772"/>
      <c r="AC37" s="772"/>
      <c r="AD37" s="896"/>
      <c r="AE37" s="772"/>
      <c r="AF37" s="763"/>
    </row>
    <row r="38" spans="1:32" s="16" customFormat="1" ht="15" customHeight="1" x14ac:dyDescent="0.2">
      <c r="A38" s="166" t="s">
        <v>7</v>
      </c>
      <c r="B38" s="750"/>
      <c r="C38" s="750"/>
      <c r="D38" s="721" t="s">
        <v>5</v>
      </c>
      <c r="E38" s="412">
        <v>2021</v>
      </c>
      <c r="F38" s="507">
        <v>2019</v>
      </c>
      <c r="G38" s="412">
        <v>2020</v>
      </c>
      <c r="H38" s="146">
        <v>2018</v>
      </c>
      <c r="I38" s="412" t="s">
        <v>5</v>
      </c>
      <c r="J38" s="146">
        <v>2010</v>
      </c>
      <c r="K38" s="412">
        <v>2020</v>
      </c>
      <c r="L38" s="412" t="s">
        <v>5</v>
      </c>
      <c r="M38" s="412">
        <v>2019</v>
      </c>
      <c r="N38" s="412">
        <v>2022</v>
      </c>
      <c r="O38" s="375">
        <v>2001</v>
      </c>
      <c r="P38" s="146">
        <v>2018</v>
      </c>
      <c r="Q38" s="452">
        <v>2019</v>
      </c>
      <c r="R38" s="42">
        <v>2009</v>
      </c>
      <c r="S38" s="58">
        <v>2015</v>
      </c>
      <c r="T38" s="412">
        <v>2021</v>
      </c>
      <c r="U38" s="412">
        <v>2019</v>
      </c>
      <c r="V38" s="412">
        <v>2022</v>
      </c>
      <c r="W38" s="146">
        <v>2018</v>
      </c>
      <c r="X38" s="146">
        <v>2015</v>
      </c>
      <c r="Y38" s="412">
        <v>2020</v>
      </c>
      <c r="Z38" s="412">
        <v>2021</v>
      </c>
      <c r="AA38" s="146">
        <v>2017</v>
      </c>
      <c r="AB38" s="412">
        <v>2021</v>
      </c>
      <c r="AC38" s="42">
        <v>2009</v>
      </c>
      <c r="AD38" s="42">
        <v>1998</v>
      </c>
      <c r="AE38" s="412">
        <v>2022</v>
      </c>
      <c r="AF38" s="542">
        <v>2018</v>
      </c>
    </row>
    <row r="39" spans="1:32" s="16" customFormat="1" ht="15" customHeight="1" x14ac:dyDescent="0.2">
      <c r="A39" s="1215" t="s">
        <v>354</v>
      </c>
      <c r="B39" s="1216"/>
      <c r="C39" s="1216"/>
      <c r="D39" s="1222" t="s">
        <v>363</v>
      </c>
      <c r="E39" s="1222" t="s">
        <v>356</v>
      </c>
      <c r="F39" s="1222" t="s">
        <v>358</v>
      </c>
      <c r="G39" s="1224" t="s">
        <v>363</v>
      </c>
      <c r="H39" s="1224" t="s">
        <v>382</v>
      </c>
      <c r="I39" s="1222" t="s">
        <v>356</v>
      </c>
      <c r="J39" s="1222" t="s">
        <v>356</v>
      </c>
      <c r="K39" s="1224" t="s">
        <v>382</v>
      </c>
      <c r="L39" s="1222" t="s">
        <v>365</v>
      </c>
      <c r="M39" s="1228" t="s">
        <v>382</v>
      </c>
      <c r="N39" s="1224" t="s">
        <v>382</v>
      </c>
      <c r="O39" s="1222" t="s">
        <v>363</v>
      </c>
      <c r="P39" s="1222" t="s">
        <v>365</v>
      </c>
      <c r="Q39" s="1225" t="s">
        <v>381</v>
      </c>
      <c r="R39" s="1222" t="s">
        <v>382</v>
      </c>
      <c r="S39" s="1222" t="s">
        <v>382</v>
      </c>
      <c r="T39" s="1222" t="s">
        <v>356</v>
      </c>
      <c r="U39" s="1227" t="s">
        <v>365</v>
      </c>
      <c r="V39" s="1222" t="s">
        <v>356</v>
      </c>
      <c r="W39" s="1222" t="s">
        <v>363</v>
      </c>
      <c r="X39" s="1222" t="s">
        <v>356</v>
      </c>
      <c r="Y39" s="1222" t="s">
        <v>356</v>
      </c>
      <c r="Z39" s="1222" t="s">
        <v>363</v>
      </c>
      <c r="AA39" s="1222" t="s">
        <v>363</v>
      </c>
      <c r="AB39" s="1222" t="s">
        <v>388</v>
      </c>
      <c r="AC39" s="1222" t="s">
        <v>363</v>
      </c>
      <c r="AD39" s="1222" t="s">
        <v>356</v>
      </c>
      <c r="AE39" s="1222" t="s">
        <v>363</v>
      </c>
      <c r="AF39" s="1222" t="s">
        <v>356</v>
      </c>
    </row>
    <row r="40" spans="1:32" s="16" customFormat="1" ht="15" customHeight="1" x14ac:dyDescent="0.2">
      <c r="A40" s="1215" t="s">
        <v>355</v>
      </c>
      <c r="B40" s="1216"/>
      <c r="C40" s="1216"/>
      <c r="D40" s="1222" t="s">
        <v>368</v>
      </c>
      <c r="E40" s="1222" t="s">
        <v>359</v>
      </c>
      <c r="F40" s="1222" t="s">
        <v>361</v>
      </c>
      <c r="G40" s="1224" t="s">
        <v>368</v>
      </c>
      <c r="H40" s="1224" t="s">
        <v>367</v>
      </c>
      <c r="I40" s="1222" t="s">
        <v>366</v>
      </c>
      <c r="J40" s="1222" t="s">
        <v>359</v>
      </c>
      <c r="K40" s="1224" t="s">
        <v>367</v>
      </c>
      <c r="L40" s="1222" t="s">
        <v>369</v>
      </c>
      <c r="M40" s="1229" t="s">
        <v>367</v>
      </c>
      <c r="N40" s="1224" t="s">
        <v>367</v>
      </c>
      <c r="O40" s="1222" t="s">
        <v>368</v>
      </c>
      <c r="P40" s="1222" t="s">
        <v>369</v>
      </c>
      <c r="Q40" s="1222" t="s">
        <v>360</v>
      </c>
      <c r="R40" s="1222" t="s">
        <v>367</v>
      </c>
      <c r="S40" s="1224" t="s">
        <v>367</v>
      </c>
      <c r="T40" s="1222" t="s">
        <v>359</v>
      </c>
      <c r="U40" s="1222" t="s">
        <v>360</v>
      </c>
      <c r="V40" s="1222" t="s">
        <v>359</v>
      </c>
      <c r="W40" s="1222" t="s">
        <v>368</v>
      </c>
      <c r="X40" s="1222" t="s">
        <v>366</v>
      </c>
      <c r="Y40" s="1222" t="s">
        <v>359</v>
      </c>
      <c r="Z40" s="1222" t="s">
        <v>368</v>
      </c>
      <c r="AA40" s="1222" t="s">
        <v>368</v>
      </c>
      <c r="AB40" s="1222" t="s">
        <v>368</v>
      </c>
      <c r="AC40" s="1222" t="s">
        <v>368</v>
      </c>
      <c r="AD40" s="1222" t="s">
        <v>359</v>
      </c>
      <c r="AE40" s="1222" t="s">
        <v>368</v>
      </c>
      <c r="AF40" s="1222" t="s">
        <v>359</v>
      </c>
    </row>
    <row r="41" spans="1:32" s="16" customFormat="1" ht="16.5" customHeight="1" x14ac:dyDescent="0.2">
      <c r="A41" s="317" t="s">
        <v>8</v>
      </c>
      <c r="B41" s="752"/>
      <c r="C41" s="753"/>
      <c r="D41" s="885"/>
      <c r="E41" s="885"/>
      <c r="F41" s="885"/>
      <c r="G41" s="885"/>
      <c r="H41" s="885"/>
      <c r="I41" s="885"/>
      <c r="J41" s="885"/>
      <c r="K41" s="885"/>
      <c r="L41" s="885"/>
      <c r="M41" s="885"/>
      <c r="N41" s="885"/>
      <c r="O41" s="885"/>
      <c r="P41" s="885"/>
      <c r="Q41" s="885"/>
      <c r="R41" s="885"/>
      <c r="S41" s="886"/>
      <c r="T41" s="885"/>
      <c r="U41" s="885"/>
      <c r="V41" s="885"/>
      <c r="W41" s="885"/>
      <c r="X41" s="885"/>
      <c r="Y41" s="885"/>
      <c r="Z41" s="885"/>
      <c r="AA41" s="885"/>
      <c r="AB41" s="885"/>
      <c r="AC41" s="772"/>
      <c r="AD41" s="887"/>
      <c r="AE41" s="885"/>
      <c r="AF41" s="888"/>
    </row>
    <row r="42" spans="1:32" s="16" customFormat="1" ht="16.5" customHeight="1" x14ac:dyDescent="0.2">
      <c r="A42" s="303" t="s">
        <v>25</v>
      </c>
      <c r="B42" s="754"/>
      <c r="C42" s="755"/>
      <c r="D42" s="319">
        <v>6</v>
      </c>
      <c r="E42" s="319">
        <v>8</v>
      </c>
      <c r="F42" s="319">
        <v>13</v>
      </c>
      <c r="G42" s="319">
        <v>8</v>
      </c>
      <c r="H42" s="319">
        <v>13</v>
      </c>
      <c r="I42" s="319">
        <v>6</v>
      </c>
      <c r="J42" s="319">
        <v>12</v>
      </c>
      <c r="K42" s="319">
        <v>11</v>
      </c>
      <c r="L42" s="319">
        <v>6</v>
      </c>
      <c r="M42" s="319">
        <v>12</v>
      </c>
      <c r="N42" s="319">
        <v>6</v>
      </c>
      <c r="O42" s="319">
        <v>10</v>
      </c>
      <c r="P42" s="319">
        <v>13</v>
      </c>
      <c r="Q42" s="319">
        <v>13</v>
      </c>
      <c r="R42" s="319">
        <v>25</v>
      </c>
      <c r="S42" s="354">
        <v>13</v>
      </c>
      <c r="T42" s="319">
        <v>8</v>
      </c>
      <c r="U42" s="319">
        <v>13</v>
      </c>
      <c r="V42" s="319">
        <v>6</v>
      </c>
      <c r="W42" s="319">
        <v>13</v>
      </c>
      <c r="X42" s="319">
        <v>13</v>
      </c>
      <c r="Y42" s="319">
        <v>11</v>
      </c>
      <c r="Z42" s="319">
        <v>8</v>
      </c>
      <c r="AA42" s="319">
        <v>11</v>
      </c>
      <c r="AB42" s="319">
        <v>8</v>
      </c>
      <c r="AC42" s="320">
        <v>27</v>
      </c>
      <c r="AD42" s="319">
        <v>10</v>
      </c>
      <c r="AE42" s="319">
        <v>6</v>
      </c>
      <c r="AF42" s="871">
        <v>13</v>
      </c>
    </row>
    <row r="43" spans="1:32" s="16" customFormat="1" ht="16.5" customHeight="1" x14ac:dyDescent="0.2">
      <c r="A43" s="307" t="s">
        <v>26</v>
      </c>
      <c r="B43" s="756"/>
      <c r="C43" s="757"/>
      <c r="D43" s="322">
        <v>6</v>
      </c>
      <c r="E43" s="322">
        <v>6</v>
      </c>
      <c r="F43" s="322">
        <v>12</v>
      </c>
      <c r="G43" s="322">
        <v>9</v>
      </c>
      <c r="H43" s="322">
        <v>13</v>
      </c>
      <c r="I43" s="322">
        <v>6</v>
      </c>
      <c r="J43" s="322">
        <v>12</v>
      </c>
      <c r="K43" s="322">
        <v>9</v>
      </c>
      <c r="L43" s="322">
        <v>6</v>
      </c>
      <c r="M43" s="322">
        <v>12</v>
      </c>
      <c r="N43" s="322">
        <v>6</v>
      </c>
      <c r="O43" s="322">
        <v>10</v>
      </c>
      <c r="P43" s="322">
        <v>13</v>
      </c>
      <c r="Q43" s="322">
        <v>12</v>
      </c>
      <c r="R43" s="322">
        <v>24</v>
      </c>
      <c r="S43" s="355">
        <v>12</v>
      </c>
      <c r="T43" s="322">
        <v>6</v>
      </c>
      <c r="U43" s="322">
        <v>12</v>
      </c>
      <c r="V43" s="322">
        <v>6</v>
      </c>
      <c r="W43" s="322">
        <v>13</v>
      </c>
      <c r="X43" s="322">
        <v>12</v>
      </c>
      <c r="Y43" s="322">
        <v>9</v>
      </c>
      <c r="Z43" s="322">
        <v>6</v>
      </c>
      <c r="AA43" s="322">
        <v>11</v>
      </c>
      <c r="AB43" s="322">
        <v>6</v>
      </c>
      <c r="AC43" s="322">
        <v>27</v>
      </c>
      <c r="AD43" s="322">
        <v>10</v>
      </c>
      <c r="AE43" s="322">
        <v>6</v>
      </c>
      <c r="AF43" s="741">
        <v>13</v>
      </c>
    </row>
    <row r="44" spans="1:32" s="16" customFormat="1" ht="16.5" customHeight="1" thickBot="1" x14ac:dyDescent="0.25">
      <c r="A44" s="325" t="s">
        <v>27</v>
      </c>
      <c r="B44" s="758"/>
      <c r="C44" s="759"/>
      <c r="D44" s="358">
        <v>6</v>
      </c>
      <c r="E44" s="326">
        <v>6</v>
      </c>
      <c r="F44" s="326">
        <v>9</v>
      </c>
      <c r="G44" s="326">
        <v>6</v>
      </c>
      <c r="H44" s="326">
        <v>12</v>
      </c>
      <c r="I44" s="326">
        <v>6</v>
      </c>
      <c r="J44" s="326">
        <v>14</v>
      </c>
      <c r="K44" s="326">
        <v>6</v>
      </c>
      <c r="L44" s="326">
        <v>6</v>
      </c>
      <c r="M44" s="326">
        <v>9</v>
      </c>
      <c r="N44" s="326">
        <v>6</v>
      </c>
      <c r="O44" s="326">
        <v>10</v>
      </c>
      <c r="P44" s="326">
        <v>12</v>
      </c>
      <c r="Q44" s="326">
        <v>9</v>
      </c>
      <c r="R44" s="326">
        <v>24</v>
      </c>
      <c r="S44" s="356">
        <v>13</v>
      </c>
      <c r="T44" s="326">
        <v>6</v>
      </c>
      <c r="U44" s="326">
        <v>9</v>
      </c>
      <c r="V44" s="326">
        <v>6</v>
      </c>
      <c r="W44" s="326">
        <v>12</v>
      </c>
      <c r="X44" s="326">
        <v>13</v>
      </c>
      <c r="Y44" s="326">
        <v>6</v>
      </c>
      <c r="Z44" s="326">
        <v>6</v>
      </c>
      <c r="AA44" s="326">
        <v>12</v>
      </c>
      <c r="AB44" s="326">
        <v>6</v>
      </c>
      <c r="AC44" s="326">
        <v>29</v>
      </c>
      <c r="AD44" s="326">
        <v>10</v>
      </c>
      <c r="AE44" s="326">
        <v>6</v>
      </c>
      <c r="AF44" s="742">
        <v>12</v>
      </c>
    </row>
    <row r="45" spans="1:32" x14ac:dyDescent="0.2">
      <c r="D45" s="217"/>
    </row>
    <row r="47" spans="1:32" x14ac:dyDescent="0.2">
      <c r="A47" s="1"/>
      <c r="B47" s="2"/>
      <c r="C47" s="2"/>
      <c r="S47" s="57"/>
      <c r="AC47" s="57"/>
      <c r="AD47" s="57"/>
      <c r="AF47" s="57"/>
    </row>
    <row r="48" spans="1:32" x14ac:dyDescent="0.2">
      <c r="A48" s="1"/>
      <c r="B48" s="2"/>
      <c r="C48" s="2"/>
      <c r="S48" s="57"/>
      <c r="AC48" s="57"/>
      <c r="AD48" s="57"/>
      <c r="AF48" s="57"/>
    </row>
    <row r="49" spans="1:37" x14ac:dyDescent="0.2">
      <c r="A49" s="1"/>
      <c r="B49" s="2"/>
      <c r="C49" s="2"/>
      <c r="S49" s="57"/>
      <c r="AC49" s="57"/>
      <c r="AD49" s="57"/>
      <c r="AF49" s="57"/>
    </row>
    <row r="50" spans="1:37" x14ac:dyDescent="0.2">
      <c r="A50" s="1"/>
      <c r="B50" s="2"/>
      <c r="C50" s="2"/>
      <c r="S50" s="57"/>
      <c r="AC50" s="57"/>
      <c r="AD50" s="57"/>
      <c r="AF50" s="57"/>
    </row>
    <row r="52" spans="1:37" ht="14.45" customHeight="1" x14ac:dyDescent="0.2">
      <c r="A52" s="8"/>
      <c r="AG52" s="59"/>
      <c r="AH52" s="59"/>
      <c r="AI52" s="59"/>
      <c r="AJ52" s="59"/>
      <c r="AK52" s="59"/>
    </row>
    <row r="53" spans="1:37" x14ac:dyDescent="0.2">
      <c r="A53" s="99"/>
    </row>
  </sheetData>
  <sortState xmlns:xlrd2="http://schemas.microsoft.com/office/spreadsheetml/2017/richdata2" columnSort="1" ref="D20:AF25">
    <sortCondition ref="D20:AF20"/>
  </sortState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7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U53"/>
  <sheetViews>
    <sheetView zoomScale="85" zoomScaleNormal="85" workbookViewId="0">
      <selection activeCell="L3" sqref="L3"/>
    </sheetView>
  </sheetViews>
  <sheetFormatPr defaultColWidth="9.140625" defaultRowHeight="12.75" x14ac:dyDescent="0.2"/>
  <cols>
    <col min="1" max="1" width="44.7109375" customWidth="1"/>
    <col min="2" max="2" width="9.7109375" style="59" customWidth="1"/>
    <col min="3" max="3" width="9.5703125" style="59" customWidth="1"/>
    <col min="4" max="4" width="8" style="59" customWidth="1"/>
    <col min="5" max="5" width="8.42578125" style="59" customWidth="1"/>
    <col min="6" max="13" width="7.85546875" style="59" customWidth="1"/>
    <col min="14" max="14" width="7.85546875" style="466" customWidth="1"/>
    <col min="15" max="15" width="6.28515625" customWidth="1"/>
  </cols>
  <sheetData>
    <row r="1" spans="1:15" ht="17.25" customHeight="1" x14ac:dyDescent="0.25">
      <c r="A1" s="25" t="s">
        <v>330</v>
      </c>
      <c r="B1" s="62"/>
      <c r="C1" s="62"/>
      <c r="D1" s="62"/>
      <c r="E1" s="4"/>
      <c r="F1" s="3"/>
      <c r="G1" s="4"/>
      <c r="H1" s="4"/>
      <c r="I1" s="4"/>
      <c r="J1" s="3"/>
      <c r="K1" s="3"/>
      <c r="L1" s="4"/>
      <c r="M1" s="4"/>
      <c r="N1" s="615"/>
    </row>
    <row r="2" spans="1:15" ht="11.25" customHeight="1" thickBot="1" x14ac:dyDescent="0.3">
      <c r="A2" s="26"/>
      <c r="B2" s="62"/>
      <c r="C2" s="62"/>
      <c r="D2" s="62"/>
      <c r="E2" s="4"/>
      <c r="F2" s="4"/>
      <c r="G2" s="4"/>
      <c r="H2" s="3"/>
      <c r="I2" s="4"/>
      <c r="J2" s="4"/>
      <c r="K2" s="4"/>
      <c r="L2" s="3"/>
      <c r="M2" s="3"/>
      <c r="N2" s="616"/>
      <c r="O2" s="3"/>
    </row>
    <row r="3" spans="1:15" ht="92.25" customHeight="1" x14ac:dyDescent="0.2">
      <c r="A3" s="462"/>
      <c r="B3" s="34" t="s">
        <v>121</v>
      </c>
      <c r="C3" s="34" t="s">
        <v>318</v>
      </c>
      <c r="D3" s="611" t="s">
        <v>159</v>
      </c>
      <c r="E3" s="463" t="s">
        <v>160</v>
      </c>
      <c r="F3" s="463" t="s">
        <v>162</v>
      </c>
      <c r="G3" s="463" t="s">
        <v>161</v>
      </c>
      <c r="H3" s="465" t="s">
        <v>173</v>
      </c>
      <c r="I3" s="463" t="s">
        <v>163</v>
      </c>
      <c r="J3" s="464" t="s">
        <v>164</v>
      </c>
      <c r="K3" s="463" t="s">
        <v>165</v>
      </c>
      <c r="L3" s="465" t="s">
        <v>166</v>
      </c>
      <c r="M3" s="465" t="s">
        <v>167</v>
      </c>
      <c r="N3" s="461" t="s">
        <v>168</v>
      </c>
    </row>
    <row r="4" spans="1:15" ht="30.75" customHeight="1" x14ac:dyDescent="0.2">
      <c r="A4" s="27" t="s">
        <v>24</v>
      </c>
      <c r="B4" s="914"/>
      <c r="C4" s="914"/>
      <c r="D4" s="612" t="s">
        <v>1</v>
      </c>
      <c r="E4" s="411" t="s">
        <v>4</v>
      </c>
      <c r="F4" s="411" t="s">
        <v>4</v>
      </c>
      <c r="G4" s="411" t="s">
        <v>2</v>
      </c>
      <c r="H4" s="411" t="s">
        <v>2</v>
      </c>
      <c r="I4" s="411" t="s">
        <v>2</v>
      </c>
      <c r="J4" s="411" t="s">
        <v>1</v>
      </c>
      <c r="K4" s="411" t="s">
        <v>1</v>
      </c>
      <c r="L4" s="411" t="s">
        <v>1</v>
      </c>
      <c r="M4" s="411" t="s">
        <v>2</v>
      </c>
      <c r="N4" s="801" t="s">
        <v>2</v>
      </c>
    </row>
    <row r="5" spans="1:15" s="16" customFormat="1" ht="16.5" customHeight="1" x14ac:dyDescent="0.2">
      <c r="A5" s="328" t="s">
        <v>9</v>
      </c>
      <c r="B5" s="915"/>
      <c r="C5" s="915"/>
      <c r="D5" s="467">
        <v>152.084</v>
      </c>
      <c r="E5" s="467">
        <v>153.16200000000001</v>
      </c>
      <c r="F5" s="467">
        <v>153.70400000000001</v>
      </c>
      <c r="G5" s="467">
        <v>153.91</v>
      </c>
      <c r="H5" s="467">
        <v>154.17500000000001</v>
      </c>
      <c r="I5" s="467">
        <v>154.524</v>
      </c>
      <c r="J5" s="467">
        <v>155.45099999999999</v>
      </c>
      <c r="K5" s="467">
        <v>156.089</v>
      </c>
      <c r="L5" s="467">
        <v>156.798</v>
      </c>
      <c r="M5" s="467">
        <v>158.01499999999999</v>
      </c>
      <c r="N5" s="531">
        <v>160.94400000000002</v>
      </c>
    </row>
    <row r="6" spans="1:15" s="16" customFormat="1" ht="16.5" customHeight="1" x14ac:dyDescent="0.2">
      <c r="A6" s="150" t="s">
        <v>11</v>
      </c>
      <c r="B6" s="775"/>
      <c r="C6" s="775"/>
      <c r="D6" s="777"/>
      <c r="E6" s="777"/>
      <c r="F6" s="895"/>
      <c r="G6" s="895"/>
      <c r="H6" s="895"/>
      <c r="I6" s="895"/>
      <c r="J6" s="895"/>
      <c r="K6" s="895"/>
      <c r="L6" s="895"/>
      <c r="M6" s="895"/>
      <c r="N6" s="916"/>
    </row>
    <row r="7" spans="1:15" s="16" customFormat="1" ht="16.5" customHeight="1" x14ac:dyDescent="0.2">
      <c r="A7" s="421" t="s">
        <v>289</v>
      </c>
      <c r="B7" s="468">
        <v>100</v>
      </c>
      <c r="C7" s="469">
        <v>103.41470147077904</v>
      </c>
      <c r="D7" s="905">
        <v>103.4171</v>
      </c>
      <c r="E7" s="470">
        <v>100.0476</v>
      </c>
      <c r="F7" s="470">
        <v>103.0215</v>
      </c>
      <c r="G7" s="470">
        <v>101.34180000000001</v>
      </c>
      <c r="H7" s="470">
        <v>103.53</v>
      </c>
      <c r="I7" s="470">
        <v>98.273489999999995</v>
      </c>
      <c r="J7" s="470">
        <v>100.7834</v>
      </c>
      <c r="K7" s="470">
        <v>106.43689999999999</v>
      </c>
      <c r="L7" s="470">
        <v>102.6835</v>
      </c>
      <c r="M7" s="470">
        <v>102.0671</v>
      </c>
      <c r="N7" s="803">
        <v>99.370959999999997</v>
      </c>
    </row>
    <row r="8" spans="1:15" s="16" customFormat="1" ht="16.5" customHeight="1" x14ac:dyDescent="0.2">
      <c r="A8" s="471" t="s">
        <v>327</v>
      </c>
      <c r="B8" s="472">
        <f>65+11.4268459223005</f>
        <v>76.426845922300501</v>
      </c>
      <c r="C8" s="473">
        <f>65+11.8050888650238</f>
        <v>76.805088865023805</v>
      </c>
      <c r="D8" s="906">
        <f>65+11.74689</f>
        <v>76.746890000000008</v>
      </c>
      <c r="E8" s="474">
        <f>65+9.906156</f>
        <v>74.906155999999996</v>
      </c>
      <c r="F8" s="474">
        <f>65+11.25253</f>
        <v>76.252530000000007</v>
      </c>
      <c r="G8" s="474">
        <f>65+11.44058</f>
        <v>76.440579999999997</v>
      </c>
      <c r="H8" s="474">
        <f>65+11.08697</f>
        <v>76.086970000000008</v>
      </c>
      <c r="I8" s="474">
        <f>65+11.51048</f>
        <v>76.510480000000001</v>
      </c>
      <c r="J8" s="474">
        <f>65+11.61774</f>
        <v>76.617739999999998</v>
      </c>
      <c r="K8" s="474">
        <f>65+12.60319</f>
        <v>77.603189999999998</v>
      </c>
      <c r="L8" s="474">
        <f>65+11.96242</f>
        <v>76.962419999999995</v>
      </c>
      <c r="M8" s="474">
        <f>65+12.23183</f>
        <v>77.231830000000002</v>
      </c>
      <c r="N8" s="804">
        <f>65+11.14225</f>
        <v>76.142250000000004</v>
      </c>
    </row>
    <row r="9" spans="1:15" s="16" customFormat="1" ht="16.5" customHeight="1" x14ac:dyDescent="0.2">
      <c r="A9" s="424" t="s">
        <v>290</v>
      </c>
      <c r="B9" s="475">
        <v>100</v>
      </c>
      <c r="C9" s="476">
        <v>103.97526794255337</v>
      </c>
      <c r="D9" s="907">
        <v>104.0202</v>
      </c>
      <c r="E9" s="477">
        <v>97.956429999999997</v>
      </c>
      <c r="F9" s="477">
        <v>102.46639999999999</v>
      </c>
      <c r="G9" s="477">
        <v>101.6057</v>
      </c>
      <c r="H9" s="477">
        <v>103.1206</v>
      </c>
      <c r="I9" s="477">
        <v>98.244870000000006</v>
      </c>
      <c r="J9" s="477">
        <v>101.12609999999999</v>
      </c>
      <c r="K9" s="477">
        <v>108.2884</v>
      </c>
      <c r="L9" s="477">
        <v>103.4592</v>
      </c>
      <c r="M9" s="477">
        <v>103.0887</v>
      </c>
      <c r="N9" s="805">
        <v>99.14555</v>
      </c>
    </row>
    <row r="10" spans="1:15" s="16" customFormat="1" ht="16.5" customHeight="1" x14ac:dyDescent="0.2">
      <c r="A10" s="150" t="s">
        <v>12</v>
      </c>
      <c r="B10" s="776"/>
      <c r="C10" s="775"/>
      <c r="D10" s="777"/>
      <c r="E10" s="777"/>
      <c r="F10" s="777"/>
      <c r="G10" s="777"/>
      <c r="H10" s="777"/>
      <c r="I10" s="777"/>
      <c r="J10" s="777"/>
      <c r="K10" s="777"/>
      <c r="L10" s="777"/>
      <c r="M10" s="777"/>
      <c r="N10" s="916"/>
    </row>
    <row r="11" spans="1:15" s="16" customFormat="1" ht="16.5" customHeight="1" x14ac:dyDescent="0.2">
      <c r="A11" s="422" t="s">
        <v>298</v>
      </c>
      <c r="B11" s="479">
        <v>100</v>
      </c>
      <c r="C11" s="480">
        <v>102.83823679007932</v>
      </c>
      <c r="D11" s="908">
        <v>105.32439235972581</v>
      </c>
      <c r="E11" s="420">
        <v>100.98706004564271</v>
      </c>
      <c r="F11" s="420">
        <v>101.56781202692191</v>
      </c>
      <c r="G11" s="420">
        <v>100.01904442007645</v>
      </c>
      <c r="H11" s="420">
        <v>101.76291513921397</v>
      </c>
      <c r="I11" s="420">
        <v>100.47526656654878</v>
      </c>
      <c r="J11" s="420">
        <v>98.737068761875904</v>
      </c>
      <c r="K11" s="420">
        <v>105.72367401179366</v>
      </c>
      <c r="L11" s="420">
        <v>104.41817975598846</v>
      </c>
      <c r="M11" s="420">
        <v>97.287554531927583</v>
      </c>
      <c r="N11" s="806">
        <v>96.500582257531505</v>
      </c>
    </row>
    <row r="12" spans="1:15" s="16" customFormat="1" ht="27.75" customHeight="1" x14ac:dyDescent="0.2">
      <c r="A12" s="449" t="s">
        <v>299</v>
      </c>
      <c r="B12" s="484">
        <v>100</v>
      </c>
      <c r="C12" s="476">
        <v>105.64808460604237</v>
      </c>
      <c r="D12" s="907">
        <v>107.08359788689289</v>
      </c>
      <c r="E12" s="477">
        <v>103.8962679454922</v>
      </c>
      <c r="F12" s="477">
        <v>104.10438899699348</v>
      </c>
      <c r="G12" s="477">
        <v>102.64906092201241</v>
      </c>
      <c r="H12" s="477">
        <v>102.37727966564339</v>
      </c>
      <c r="I12" s="477">
        <v>102.44697835381072</v>
      </c>
      <c r="J12" s="477">
        <v>102.30103983319964</v>
      </c>
      <c r="K12" s="477">
        <v>109.10331170708359</v>
      </c>
      <c r="L12" s="477">
        <v>108.01792660564499</v>
      </c>
      <c r="M12" s="477">
        <v>98.568240445487817</v>
      </c>
      <c r="N12" s="805">
        <v>97.170695406941618</v>
      </c>
    </row>
    <row r="13" spans="1:15" s="16" customFormat="1" ht="16.5" customHeight="1" x14ac:dyDescent="0.2">
      <c r="A13" s="422" t="s">
        <v>293</v>
      </c>
      <c r="B13" s="479">
        <v>100</v>
      </c>
      <c r="C13" s="480">
        <v>103.3578476</v>
      </c>
      <c r="D13" s="908">
        <v>105.1481</v>
      </c>
      <c r="E13" s="420">
        <v>101.801</v>
      </c>
      <c r="F13" s="420">
        <v>101.73439999999999</v>
      </c>
      <c r="G13" s="420">
        <v>99.480509999999995</v>
      </c>
      <c r="H13" s="420">
        <v>103.19280000000001</v>
      </c>
      <c r="I13" s="420">
        <v>102.79179999999999</v>
      </c>
      <c r="J13" s="420">
        <v>99.722179999999994</v>
      </c>
      <c r="K13" s="420">
        <v>106.8267</v>
      </c>
      <c r="L13" s="420">
        <v>101.5718</v>
      </c>
      <c r="M13" s="420">
        <v>98.393349999999998</v>
      </c>
      <c r="N13" s="806">
        <v>98.450659999999999</v>
      </c>
    </row>
    <row r="14" spans="1:15" s="16" customFormat="1" ht="16.5" customHeight="1" x14ac:dyDescent="0.2">
      <c r="A14" s="451" t="s">
        <v>297</v>
      </c>
      <c r="B14" s="481">
        <v>100</v>
      </c>
      <c r="C14" s="485">
        <v>103.09417948879027</v>
      </c>
      <c r="D14" s="909">
        <v>105.23241373726017</v>
      </c>
      <c r="E14" s="487">
        <v>101.35703275216875</v>
      </c>
      <c r="F14" s="487">
        <v>101.64185112606773</v>
      </c>
      <c r="G14" s="487">
        <v>99.798734884590644</v>
      </c>
      <c r="H14" s="487">
        <v>102.26758038419727</v>
      </c>
      <c r="I14" s="487">
        <v>101.68389270574073</v>
      </c>
      <c r="J14" s="487">
        <v>99.249326605700446</v>
      </c>
      <c r="K14" s="487">
        <v>106.25312648613271</v>
      </c>
      <c r="L14" s="487">
        <v>103.051917473114</v>
      </c>
      <c r="M14" s="487">
        <v>97.818336356602344</v>
      </c>
      <c r="N14" s="813">
        <v>97.298341333995893</v>
      </c>
    </row>
    <row r="15" spans="1:15" s="16" customFormat="1" ht="16.5" customHeight="1" x14ac:dyDescent="0.2">
      <c r="A15" s="295" t="s">
        <v>13</v>
      </c>
      <c r="B15" s="746"/>
      <c r="C15" s="747"/>
      <c r="D15" s="748"/>
      <c r="E15" s="777"/>
      <c r="F15" s="777"/>
      <c r="G15" s="777"/>
      <c r="H15" s="777"/>
      <c r="I15" s="777"/>
      <c r="J15" s="777"/>
      <c r="K15" s="777"/>
      <c r="L15" s="777"/>
      <c r="M15" s="777"/>
      <c r="N15" s="916"/>
    </row>
    <row r="16" spans="1:15" s="16" customFormat="1" ht="16.5" customHeight="1" x14ac:dyDescent="0.2">
      <c r="A16" s="423" t="s">
        <v>89</v>
      </c>
      <c r="B16" s="481">
        <v>69.719742699999998</v>
      </c>
      <c r="C16" s="482">
        <v>67.309569569999994</v>
      </c>
      <c r="D16" s="910">
        <v>66.610456670798527</v>
      </c>
      <c r="E16" s="483">
        <v>68.210882329046342</v>
      </c>
      <c r="F16" s="483">
        <v>64.811838778220078</v>
      </c>
      <c r="G16" s="483">
        <v>70.351119893049116</v>
      </c>
      <c r="H16" s="483">
        <v>67.30921084266113</v>
      </c>
      <c r="I16" s="483">
        <v>67.625638368186131</v>
      </c>
      <c r="J16" s="483">
        <v>69.083218349950229</v>
      </c>
      <c r="K16" s="483">
        <v>68.73276448756576</v>
      </c>
      <c r="L16" s="483">
        <v>70.741463130285481</v>
      </c>
      <c r="M16" s="483">
        <v>70.015847682986077</v>
      </c>
      <c r="N16" s="807">
        <v>68.219286559715798</v>
      </c>
    </row>
    <row r="17" spans="1:47" s="16" customFormat="1" ht="16.5" customHeight="1" x14ac:dyDescent="0.2">
      <c r="A17" s="423" t="s">
        <v>20</v>
      </c>
      <c r="B17" s="479">
        <v>65.155071468212995</v>
      </c>
      <c r="C17" s="480">
        <v>59.870955999264091</v>
      </c>
      <c r="D17" s="908">
        <v>58.647571372172173</v>
      </c>
      <c r="E17" s="493">
        <v>61.268167381563011</v>
      </c>
      <c r="F17" s="493">
        <v>56.413134370939623</v>
      </c>
      <c r="G17" s="493">
        <v>61.581466704756963</v>
      </c>
      <c r="H17" s="493">
        <v>58.962826214463526</v>
      </c>
      <c r="I17" s="493">
        <v>62.273154739470982</v>
      </c>
      <c r="J17" s="493">
        <v>62.14326659220368</v>
      </c>
      <c r="K17" s="493">
        <v>62.279851661740892</v>
      </c>
      <c r="L17" s="493">
        <v>62.974259652502823</v>
      </c>
      <c r="M17" s="493">
        <v>65.153509652502805</v>
      </c>
      <c r="N17" s="808">
        <v>62.985133371423615</v>
      </c>
    </row>
    <row r="18" spans="1:47" s="127" customFormat="1" ht="16.5" customHeight="1" x14ac:dyDescent="0.2">
      <c r="A18" s="451" t="s">
        <v>90</v>
      </c>
      <c r="B18" s="540">
        <v>6.4011358781683176</v>
      </c>
      <c r="C18" s="478">
        <v>5.7881506283150284</v>
      </c>
      <c r="D18" s="911">
        <v>5.6248274410508232</v>
      </c>
      <c r="E18" s="541">
        <v>6.0009815181541653</v>
      </c>
      <c r="F18" s="541">
        <v>5.3674787577946299</v>
      </c>
      <c r="G18" s="541">
        <v>6.2602382742630551</v>
      </c>
      <c r="H18" s="541">
        <v>5.8574929138762881</v>
      </c>
      <c r="I18" s="541">
        <v>5.9899546696817465</v>
      </c>
      <c r="J18" s="541">
        <v>6.0884745117576218</v>
      </c>
      <c r="K18" s="541">
        <v>6.0718218026570367</v>
      </c>
      <c r="L18" s="541">
        <v>6.3248283588018888</v>
      </c>
      <c r="M18" s="541">
        <v>6.4275437457951901</v>
      </c>
      <c r="N18" s="809">
        <v>6.1655255885487703</v>
      </c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</row>
    <row r="19" spans="1:47" s="16" customFormat="1" ht="16.5" customHeight="1" x14ac:dyDescent="0.2">
      <c r="A19" s="496" t="s">
        <v>213</v>
      </c>
      <c r="B19" s="497">
        <v>7.3051535259999998</v>
      </c>
      <c r="C19" s="492">
        <v>7.3319414409999997</v>
      </c>
      <c r="D19" s="913">
        <v>7.4660539999999997</v>
      </c>
      <c r="E19" s="459">
        <v>7.3017000000000003</v>
      </c>
      <c r="F19" s="459">
        <v>7.1614060000000004</v>
      </c>
      <c r="G19" s="459">
        <v>7.1821700000000002</v>
      </c>
      <c r="H19" s="459">
        <v>6.8746869999999998</v>
      </c>
      <c r="I19" s="459">
        <v>7.2910539999999999</v>
      </c>
      <c r="J19" s="459">
        <v>7.3306589999999998</v>
      </c>
      <c r="K19" s="459">
        <v>7.3696469999999996</v>
      </c>
      <c r="L19" s="459">
        <v>7.4321390000000003</v>
      </c>
      <c r="M19" s="459">
        <v>7.2571389999999996</v>
      </c>
      <c r="N19" s="810">
        <v>7.2446700000000002</v>
      </c>
    </row>
    <row r="20" spans="1:47" s="16" customFormat="1" ht="16.5" customHeight="1" x14ac:dyDescent="0.2">
      <c r="A20" s="276" t="s">
        <v>10</v>
      </c>
      <c r="B20" s="917"/>
      <c r="C20" s="918"/>
      <c r="D20" s="919"/>
      <c r="E20" s="895"/>
      <c r="F20" s="895"/>
      <c r="G20" s="895"/>
      <c r="H20" s="895"/>
      <c r="I20" s="895"/>
      <c r="J20" s="895"/>
      <c r="K20" s="895"/>
      <c r="L20" s="895"/>
      <c r="M20" s="895"/>
      <c r="N20" s="916"/>
    </row>
    <row r="21" spans="1:47" s="16" customFormat="1" ht="16.5" customHeight="1" x14ac:dyDescent="0.2">
      <c r="A21" s="421" t="s">
        <v>303</v>
      </c>
      <c r="B21" s="468">
        <v>100</v>
      </c>
      <c r="C21" s="469">
        <v>100.5488</v>
      </c>
      <c r="D21" s="905">
        <v>102.7101</v>
      </c>
      <c r="E21" s="470">
        <v>91.5762</v>
      </c>
      <c r="F21" s="470">
        <v>98.319130000000001</v>
      </c>
      <c r="G21" s="470">
        <v>82.826999999999998</v>
      </c>
      <c r="H21" s="470">
        <v>91.934439999999995</v>
      </c>
      <c r="I21" s="470">
        <v>84.365009999999998</v>
      </c>
      <c r="J21" s="470">
        <v>91.481070000000003</v>
      </c>
      <c r="K21" s="470">
        <v>109.6848</v>
      </c>
      <c r="L21" s="470">
        <v>102.38590000000001</v>
      </c>
      <c r="M21" s="470">
        <v>83.113349999999997</v>
      </c>
      <c r="N21" s="803">
        <v>82.324579999999997</v>
      </c>
    </row>
    <row r="22" spans="1:47" s="16" customFormat="1" ht="16.5" customHeight="1" x14ac:dyDescent="0.2">
      <c r="A22" s="422" t="s">
        <v>304</v>
      </c>
      <c r="B22" s="479">
        <v>100</v>
      </c>
      <c r="C22" s="480">
        <v>101.0855</v>
      </c>
      <c r="D22" s="908">
        <v>103.5585</v>
      </c>
      <c r="E22" s="420">
        <v>98.184010000000001</v>
      </c>
      <c r="F22" s="420">
        <v>98.778549999999996</v>
      </c>
      <c r="G22" s="420">
        <v>88.998900000000006</v>
      </c>
      <c r="H22" s="420">
        <v>97.330020000000005</v>
      </c>
      <c r="I22" s="420">
        <v>89.831180000000003</v>
      </c>
      <c r="J22" s="420">
        <v>94.464169999999996</v>
      </c>
      <c r="K22" s="420">
        <v>107.5407</v>
      </c>
      <c r="L22" s="420">
        <v>100.9152</v>
      </c>
      <c r="M22" s="420">
        <v>87.994450000000001</v>
      </c>
      <c r="N22" s="806">
        <v>86.086590000000001</v>
      </c>
    </row>
    <row r="23" spans="1:47" s="16" customFormat="1" ht="16.5" customHeight="1" x14ac:dyDescent="0.2">
      <c r="A23" s="422" t="s">
        <v>319</v>
      </c>
      <c r="B23" s="479">
        <v>100</v>
      </c>
      <c r="C23" s="480">
        <v>106.8128</v>
      </c>
      <c r="D23" s="908">
        <v>104.0752</v>
      </c>
      <c r="E23" s="420">
        <v>105.7688</v>
      </c>
      <c r="F23" s="420">
        <v>107.958</v>
      </c>
      <c r="G23" s="420">
        <v>111.3505</v>
      </c>
      <c r="H23" s="420">
        <v>106.626</v>
      </c>
      <c r="I23" s="420">
        <v>105.5076</v>
      </c>
      <c r="J23" s="420">
        <v>107.9401</v>
      </c>
      <c r="K23" s="420">
        <v>107.2779</v>
      </c>
      <c r="L23" s="420">
        <v>108.7223</v>
      </c>
      <c r="M23" s="420">
        <v>110.2135</v>
      </c>
      <c r="N23" s="806">
        <v>109.4182</v>
      </c>
    </row>
    <row r="24" spans="1:47" s="16" customFormat="1" ht="16.5" customHeight="1" x14ac:dyDescent="0.2">
      <c r="A24" s="422" t="s">
        <v>305</v>
      </c>
      <c r="B24" s="479">
        <v>100</v>
      </c>
      <c r="C24" s="480">
        <v>100.0685</v>
      </c>
      <c r="D24" s="908">
        <v>101.3891</v>
      </c>
      <c r="E24" s="420">
        <v>98.115099999999998</v>
      </c>
      <c r="F24" s="420">
        <v>100.054</v>
      </c>
      <c r="G24" s="420">
        <v>98.589500000000001</v>
      </c>
      <c r="H24" s="420">
        <v>104.5547</v>
      </c>
      <c r="I24" s="420">
        <v>96.908559999999994</v>
      </c>
      <c r="J24" s="420">
        <v>96.002700000000004</v>
      </c>
      <c r="K24" s="420">
        <v>102.8282</v>
      </c>
      <c r="L24" s="420">
        <v>100.7663</v>
      </c>
      <c r="M24" s="420">
        <v>104.551</v>
      </c>
      <c r="N24" s="806">
        <v>96.390420000000006</v>
      </c>
    </row>
    <row r="25" spans="1:47" s="16" customFormat="1" ht="16.5" customHeight="1" x14ac:dyDescent="0.2">
      <c r="A25" s="422" t="s">
        <v>306</v>
      </c>
      <c r="B25" s="481">
        <v>100</v>
      </c>
      <c r="C25" s="482">
        <v>102.9513</v>
      </c>
      <c r="D25" s="910">
        <v>104.3944</v>
      </c>
      <c r="E25" s="483">
        <v>90.358509999999995</v>
      </c>
      <c r="F25" s="483">
        <v>101.07080000000001</v>
      </c>
      <c r="G25" s="483">
        <v>99.65231</v>
      </c>
      <c r="H25" s="483">
        <v>103.6407</v>
      </c>
      <c r="I25" s="483">
        <v>94.620270000000005</v>
      </c>
      <c r="J25" s="483">
        <v>99.204840000000004</v>
      </c>
      <c r="K25" s="483">
        <v>107.13500000000001</v>
      </c>
      <c r="L25" s="483">
        <v>92.218459999999993</v>
      </c>
      <c r="M25" s="483">
        <v>99.997219999999999</v>
      </c>
      <c r="N25" s="807">
        <v>99.491910000000004</v>
      </c>
    </row>
    <row r="26" spans="1:47" s="16" customFormat="1" ht="16.5" customHeight="1" x14ac:dyDescent="0.2">
      <c r="A26" s="285" t="s">
        <v>23</v>
      </c>
      <c r="B26" s="920"/>
      <c r="C26" s="921"/>
      <c r="D26" s="922"/>
      <c r="E26" s="895"/>
      <c r="F26" s="895"/>
      <c r="G26" s="895"/>
      <c r="H26" s="895"/>
      <c r="I26" s="895"/>
      <c r="J26" s="895"/>
      <c r="K26" s="895"/>
      <c r="L26" s="895"/>
      <c r="M26" s="895"/>
      <c r="N26" s="916"/>
    </row>
    <row r="27" spans="1:47" s="16" customFormat="1" ht="16.5" customHeight="1" x14ac:dyDescent="0.2">
      <c r="A27" s="421" t="s">
        <v>300</v>
      </c>
      <c r="B27" s="468">
        <v>100</v>
      </c>
      <c r="C27" s="469">
        <v>112.6173</v>
      </c>
      <c r="D27" s="905">
        <v>116.7525</v>
      </c>
      <c r="E27" s="470">
        <v>114.6202</v>
      </c>
      <c r="F27" s="470">
        <v>111.35250000000001</v>
      </c>
      <c r="G27" s="470">
        <v>106.1681</v>
      </c>
      <c r="H27" s="470">
        <v>109.49850000000001</v>
      </c>
      <c r="I27" s="470">
        <v>109.34820000000001</v>
      </c>
      <c r="J27" s="470">
        <v>108.003</v>
      </c>
      <c r="K27" s="470">
        <v>114.3612</v>
      </c>
      <c r="L27" s="470">
        <v>111.7381</v>
      </c>
      <c r="M27" s="470">
        <v>97.481520000000003</v>
      </c>
      <c r="N27" s="803">
        <v>99.874619999999993</v>
      </c>
    </row>
    <row r="28" spans="1:47" s="16" customFormat="1" ht="16.5" customHeight="1" x14ac:dyDescent="0.2">
      <c r="A28" s="471" t="s">
        <v>322</v>
      </c>
      <c r="B28" s="488">
        <f>65+6.09166621</f>
        <v>71.09166621</v>
      </c>
      <c r="C28" s="473">
        <f>65+4.73523</f>
        <v>69.735230000000001</v>
      </c>
      <c r="D28" s="906">
        <f>65+4.129317</f>
        <v>69.129317</v>
      </c>
      <c r="E28" s="474">
        <f>65+3.255817</f>
        <v>68.255816999999993</v>
      </c>
      <c r="F28" s="474">
        <f>65+4.836396</f>
        <v>69.836395999999993</v>
      </c>
      <c r="G28" s="474">
        <f>65+5.601121</f>
        <v>70.601121000000006</v>
      </c>
      <c r="H28" s="474">
        <f>65+4.278549</f>
        <v>69.278548999999998</v>
      </c>
      <c r="I28" s="474">
        <f>65+5.234876</f>
        <v>70.234876</v>
      </c>
      <c r="J28" s="474">
        <f>65+5.258767</f>
        <v>70.258767000000006</v>
      </c>
      <c r="K28" s="474">
        <f>65+4.716439</f>
        <v>69.716438999999994</v>
      </c>
      <c r="L28" s="474">
        <f>65+5.339222</f>
        <v>70.339222000000007</v>
      </c>
      <c r="M28" s="474">
        <f>65+7.071408</f>
        <v>72.071408000000005</v>
      </c>
      <c r="N28" s="804">
        <f>65+5.368167</f>
        <v>70.368167</v>
      </c>
    </row>
    <row r="29" spans="1:47" s="16" customFormat="1" ht="16.5" customHeight="1" x14ac:dyDescent="0.2">
      <c r="A29" s="422" t="s">
        <v>301</v>
      </c>
      <c r="B29" s="479">
        <v>100</v>
      </c>
      <c r="C29" s="480">
        <v>106.1452</v>
      </c>
      <c r="D29" s="908">
        <v>106.62560000000001</v>
      </c>
      <c r="E29" s="420">
        <v>103.2585</v>
      </c>
      <c r="F29" s="420">
        <v>102.4936</v>
      </c>
      <c r="G29" s="420">
        <v>106.7968</v>
      </c>
      <c r="H29" s="420">
        <v>104.4635</v>
      </c>
      <c r="I29" s="420">
        <v>100.5938</v>
      </c>
      <c r="J29" s="420">
        <v>102.2252</v>
      </c>
      <c r="K29" s="420">
        <v>113.2363</v>
      </c>
      <c r="L29" s="420">
        <v>110.65779999999999</v>
      </c>
      <c r="M29" s="420">
        <v>107.6722</v>
      </c>
      <c r="N29" s="806">
        <v>105.2591</v>
      </c>
    </row>
    <row r="30" spans="1:47" s="16" customFormat="1" ht="16.5" customHeight="1" x14ac:dyDescent="0.2">
      <c r="A30" s="489" t="s">
        <v>323</v>
      </c>
      <c r="B30" s="488">
        <f>65+7.781876278</f>
        <v>72.781876277999999</v>
      </c>
      <c r="C30" s="473">
        <f>65+8.316983</f>
        <v>73.316982999999993</v>
      </c>
      <c r="D30" s="906">
        <f>65+7.566791</f>
        <v>72.566790999999995</v>
      </c>
      <c r="E30" s="474">
        <f>65+6.826996</f>
        <v>71.826995999999994</v>
      </c>
      <c r="F30" s="474">
        <f>65+9.022906</f>
        <v>74.022906000000006</v>
      </c>
      <c r="G30" s="474">
        <f>65+8.878816</f>
        <v>73.878816</v>
      </c>
      <c r="H30" s="474">
        <f>65+8.073105</f>
        <v>73.073104999999998</v>
      </c>
      <c r="I30" s="474">
        <f>65+8.382854</f>
        <v>73.382853999999995</v>
      </c>
      <c r="J30" s="474">
        <f>65+8.778584</f>
        <v>73.778583999999995</v>
      </c>
      <c r="K30" s="474">
        <f>65+7.899653</f>
        <v>72.899653000000001</v>
      </c>
      <c r="L30" s="474">
        <f>65+9.430731</f>
        <v>74.430730999999994</v>
      </c>
      <c r="M30" s="474">
        <f>65+8.336333</f>
        <v>73.336332999999996</v>
      </c>
      <c r="N30" s="804">
        <f>65+7.58707</f>
        <v>72.587069999999997</v>
      </c>
      <c r="P30" s="261"/>
    </row>
    <row r="31" spans="1:47" s="16" customFormat="1" ht="16.5" customHeight="1" x14ac:dyDescent="0.2">
      <c r="A31" s="422" t="s">
        <v>302</v>
      </c>
      <c r="B31" s="479">
        <v>100</v>
      </c>
      <c r="C31" s="480">
        <v>100.4611</v>
      </c>
      <c r="D31" s="908">
        <v>102.5061</v>
      </c>
      <c r="E31" s="420">
        <v>93.228489999999994</v>
      </c>
      <c r="F31" s="420">
        <v>101.9336</v>
      </c>
      <c r="G31" s="420">
        <v>103.3449</v>
      </c>
      <c r="H31" s="420">
        <v>102.1842</v>
      </c>
      <c r="I31" s="420">
        <v>101.3578</v>
      </c>
      <c r="J31" s="420">
        <v>97.780109999999993</v>
      </c>
      <c r="K31" s="420">
        <v>99.624390000000005</v>
      </c>
      <c r="L31" s="420">
        <v>105.29340000000001</v>
      </c>
      <c r="M31" s="420">
        <v>105.6724</v>
      </c>
      <c r="N31" s="806">
        <v>101.53959999999999</v>
      </c>
    </row>
    <row r="32" spans="1:47" s="16" customFormat="1" ht="16.5" customHeight="1" x14ac:dyDescent="0.2">
      <c r="A32" s="425" t="s">
        <v>229</v>
      </c>
      <c r="B32" s="490">
        <v>100</v>
      </c>
      <c r="C32" s="491">
        <v>99.816649999999996</v>
      </c>
      <c r="D32" s="912">
        <v>100.68519999999999</v>
      </c>
      <c r="E32" s="487">
        <v>94.704570000000004</v>
      </c>
      <c r="F32" s="487">
        <v>99.344200000000001</v>
      </c>
      <c r="G32" s="487">
        <v>96.909520000000001</v>
      </c>
      <c r="H32" s="487">
        <v>103.0463</v>
      </c>
      <c r="I32" s="487">
        <v>99.763350000000003</v>
      </c>
      <c r="J32" s="487">
        <v>95.282960000000003</v>
      </c>
      <c r="K32" s="487">
        <v>103.9543</v>
      </c>
      <c r="L32" s="487">
        <v>100.97369999999999</v>
      </c>
      <c r="M32" s="487">
        <v>99.376300000000001</v>
      </c>
      <c r="N32" s="813">
        <v>96.359229999999997</v>
      </c>
    </row>
    <row r="33" spans="1:14" s="16" customFormat="1" ht="16.5" customHeight="1" x14ac:dyDescent="0.2">
      <c r="A33" s="295" t="s">
        <v>14</v>
      </c>
      <c r="B33" s="746"/>
      <c r="C33" s="747"/>
      <c r="D33" s="748"/>
      <c r="E33" s="748"/>
      <c r="F33" s="748"/>
      <c r="G33" s="748"/>
      <c r="H33" s="748"/>
      <c r="I33" s="748"/>
      <c r="J33" s="748"/>
      <c r="K33" s="748"/>
      <c r="L33" s="748"/>
      <c r="M33" s="748"/>
      <c r="N33" s="923"/>
    </row>
    <row r="34" spans="1:14" s="16" customFormat="1" ht="16.5" customHeight="1" x14ac:dyDescent="0.2">
      <c r="A34" s="498" t="s">
        <v>214</v>
      </c>
      <c r="B34" s="499">
        <v>5.7111111111111104</v>
      </c>
      <c r="C34" s="500">
        <v>4.75</v>
      </c>
      <c r="D34" s="502">
        <v>3.2</v>
      </c>
      <c r="E34" s="501">
        <v>7.8</v>
      </c>
      <c r="F34" s="501">
        <v>5.7</v>
      </c>
      <c r="G34" s="501">
        <v>6.9</v>
      </c>
      <c r="H34" s="501">
        <v>7.6</v>
      </c>
      <c r="I34" s="501">
        <v>5.9</v>
      </c>
      <c r="J34" s="501">
        <v>4.3</v>
      </c>
      <c r="K34" s="501">
        <v>5.8</v>
      </c>
      <c r="L34" s="501">
        <v>6.4</v>
      </c>
      <c r="M34" s="501">
        <v>6.7</v>
      </c>
      <c r="N34" s="814">
        <v>6.9</v>
      </c>
    </row>
    <row r="35" spans="1:14" s="16" customFormat="1" ht="16.5" customHeight="1" x14ac:dyDescent="0.2">
      <c r="A35" s="504" t="s">
        <v>215</v>
      </c>
      <c r="B35" s="494">
        <v>5.177777777777778</v>
      </c>
      <c r="C35" s="495">
        <v>6.2750000000000004</v>
      </c>
      <c r="D35" s="455">
        <v>5.9</v>
      </c>
      <c r="E35" s="474">
        <v>6.5</v>
      </c>
      <c r="F35" s="474">
        <v>6.6</v>
      </c>
      <c r="G35" s="448">
        <v>5.9</v>
      </c>
      <c r="H35" s="474">
        <v>6.7</v>
      </c>
      <c r="I35" s="448">
        <v>5.6</v>
      </c>
      <c r="J35" s="474">
        <v>6.5</v>
      </c>
      <c r="K35" s="474">
        <v>6.1</v>
      </c>
      <c r="L35" s="448">
        <v>6.7</v>
      </c>
      <c r="M35" s="448">
        <v>5.9</v>
      </c>
      <c r="N35" s="901">
        <v>6.6</v>
      </c>
    </row>
    <row r="36" spans="1:14" s="16" customFormat="1" ht="16.5" customHeight="1" x14ac:dyDescent="0.2">
      <c r="A36" s="496" t="s">
        <v>216</v>
      </c>
      <c r="B36" s="505">
        <v>6.4279999999999999</v>
      </c>
      <c r="C36" s="506">
        <v>6.8999999999999995</v>
      </c>
      <c r="D36" s="456" t="s">
        <v>5</v>
      </c>
      <c r="E36" s="459">
        <v>6.9</v>
      </c>
      <c r="F36" s="459">
        <v>6.7</v>
      </c>
      <c r="G36" s="454">
        <v>6.5</v>
      </c>
      <c r="H36" s="459" t="s">
        <v>197</v>
      </c>
      <c r="I36" s="454" t="s">
        <v>5</v>
      </c>
      <c r="J36" s="459">
        <v>6.8</v>
      </c>
      <c r="K36" s="454">
        <v>7.2</v>
      </c>
      <c r="L36" s="459">
        <v>6.6</v>
      </c>
      <c r="M36" s="459">
        <v>6.3</v>
      </c>
      <c r="N36" s="810">
        <v>6.6</v>
      </c>
    </row>
    <row r="37" spans="1:14" ht="11.25" customHeight="1" x14ac:dyDescent="0.2">
      <c r="A37" s="924"/>
      <c r="B37" s="925"/>
      <c r="C37" s="926"/>
      <c r="D37" s="927"/>
      <c r="E37" s="928"/>
      <c r="F37" s="928"/>
      <c r="G37" s="929"/>
      <c r="H37" s="928"/>
      <c r="I37" s="929"/>
      <c r="J37" s="928"/>
      <c r="K37" s="928"/>
      <c r="L37" s="928"/>
      <c r="M37" s="928"/>
      <c r="N37" s="930"/>
    </row>
    <row r="38" spans="1:14" s="16" customFormat="1" ht="16.5" customHeight="1" x14ac:dyDescent="0.2">
      <c r="A38" s="166" t="s">
        <v>7</v>
      </c>
      <c r="B38" s="931"/>
      <c r="C38" s="932"/>
      <c r="D38" s="507">
        <v>2017</v>
      </c>
      <c r="E38" s="412">
        <v>2014</v>
      </c>
      <c r="F38" s="412">
        <v>2014</v>
      </c>
      <c r="G38" s="412">
        <v>2019</v>
      </c>
      <c r="H38" s="412">
        <v>2020</v>
      </c>
      <c r="I38" s="412">
        <v>2017</v>
      </c>
      <c r="J38" s="412">
        <v>2011</v>
      </c>
      <c r="K38" s="412">
        <v>2012</v>
      </c>
      <c r="L38" s="412">
        <v>2018</v>
      </c>
      <c r="M38" s="412">
        <v>2018</v>
      </c>
      <c r="N38" s="815">
        <v>2019</v>
      </c>
    </row>
    <row r="39" spans="1:14" s="16" customFormat="1" ht="16.5" customHeight="1" x14ac:dyDescent="0.2">
      <c r="A39" s="1215" t="s">
        <v>354</v>
      </c>
      <c r="B39" s="1220"/>
      <c r="C39" s="1221"/>
      <c r="D39" s="1223" t="s">
        <v>382</v>
      </c>
      <c r="E39" s="1222" t="s">
        <v>358</v>
      </c>
      <c r="F39" s="1222" t="s">
        <v>356</v>
      </c>
      <c r="G39" s="1222" t="s">
        <v>356</v>
      </c>
      <c r="H39" s="1223" t="s">
        <v>382</v>
      </c>
      <c r="I39" s="1222" t="s">
        <v>387</v>
      </c>
      <c r="J39" s="1222" t="s">
        <v>356</v>
      </c>
      <c r="K39" s="1222" t="s">
        <v>363</v>
      </c>
      <c r="L39" s="1222" t="s">
        <v>356</v>
      </c>
      <c r="M39" s="1222" t="s">
        <v>356</v>
      </c>
      <c r="N39" s="1222" t="s">
        <v>356</v>
      </c>
    </row>
    <row r="40" spans="1:14" s="16" customFormat="1" ht="16.5" customHeight="1" x14ac:dyDescent="0.2">
      <c r="A40" s="1215" t="s">
        <v>355</v>
      </c>
      <c r="B40" s="1220"/>
      <c r="C40" s="1221"/>
      <c r="D40" s="1224" t="s">
        <v>367</v>
      </c>
      <c r="E40" s="1222" t="s">
        <v>361</v>
      </c>
      <c r="F40" s="1222" t="s">
        <v>366</v>
      </c>
      <c r="G40" s="1222" t="s">
        <v>366</v>
      </c>
      <c r="H40" s="1222" t="s">
        <v>367</v>
      </c>
      <c r="I40" s="1224" t="s">
        <v>368</v>
      </c>
      <c r="J40" s="1222" t="s">
        <v>366</v>
      </c>
      <c r="K40" s="1222" t="s">
        <v>368</v>
      </c>
      <c r="L40" s="1222" t="s">
        <v>359</v>
      </c>
      <c r="M40" s="1222" t="s">
        <v>359</v>
      </c>
      <c r="N40" s="1222" t="s">
        <v>359</v>
      </c>
    </row>
    <row r="41" spans="1:14" ht="16.5" customHeight="1" x14ac:dyDescent="0.2">
      <c r="A41" s="102" t="s">
        <v>8</v>
      </c>
      <c r="B41" s="933"/>
      <c r="C41" s="934"/>
      <c r="D41" s="928"/>
      <c r="E41" s="929"/>
      <c r="F41" s="929"/>
      <c r="G41" s="929"/>
      <c r="H41" s="929"/>
      <c r="I41" s="929"/>
      <c r="J41" s="929"/>
      <c r="K41" s="929"/>
      <c r="L41" s="929"/>
      <c r="M41" s="929"/>
      <c r="N41" s="941"/>
    </row>
    <row r="42" spans="1:14" ht="16.5" customHeight="1" x14ac:dyDescent="0.2">
      <c r="A42" s="509" t="s">
        <v>25</v>
      </c>
      <c r="B42" s="935"/>
      <c r="C42" s="936"/>
      <c r="D42" s="511">
        <v>11</v>
      </c>
      <c r="E42" s="510">
        <v>12</v>
      </c>
      <c r="F42" s="510">
        <v>15</v>
      </c>
      <c r="G42" s="510">
        <v>13</v>
      </c>
      <c r="H42" s="510">
        <v>11</v>
      </c>
      <c r="I42" s="510">
        <v>11</v>
      </c>
      <c r="J42" s="510">
        <v>12</v>
      </c>
      <c r="K42" s="510">
        <v>13</v>
      </c>
      <c r="L42" s="510">
        <v>13</v>
      </c>
      <c r="M42" s="510">
        <v>13</v>
      </c>
      <c r="N42" s="902">
        <v>13</v>
      </c>
    </row>
    <row r="43" spans="1:14" ht="16.5" customHeight="1" x14ac:dyDescent="0.2">
      <c r="A43" s="512" t="s">
        <v>26</v>
      </c>
      <c r="B43" s="937"/>
      <c r="C43" s="938"/>
      <c r="D43" s="514">
        <v>11</v>
      </c>
      <c r="E43" s="513">
        <v>11</v>
      </c>
      <c r="F43" s="513">
        <v>13</v>
      </c>
      <c r="G43" s="513">
        <v>12</v>
      </c>
      <c r="H43" s="513">
        <v>9</v>
      </c>
      <c r="I43" s="513">
        <v>11</v>
      </c>
      <c r="J43" s="513">
        <v>12</v>
      </c>
      <c r="K43" s="513">
        <v>11</v>
      </c>
      <c r="L43" s="513">
        <v>13</v>
      </c>
      <c r="M43" s="513">
        <v>13</v>
      </c>
      <c r="N43" s="903">
        <v>12</v>
      </c>
    </row>
    <row r="44" spans="1:14" ht="16.5" customHeight="1" thickBot="1" x14ac:dyDescent="0.25">
      <c r="A44" s="515" t="s">
        <v>27</v>
      </c>
      <c r="B44" s="939"/>
      <c r="C44" s="940"/>
      <c r="D44" s="517">
        <v>12</v>
      </c>
      <c r="E44" s="516">
        <v>10</v>
      </c>
      <c r="F44" s="516">
        <v>12</v>
      </c>
      <c r="G44" s="516">
        <v>9</v>
      </c>
      <c r="H44" s="516">
        <v>6</v>
      </c>
      <c r="I44" s="516">
        <v>12</v>
      </c>
      <c r="J44" s="516">
        <v>13</v>
      </c>
      <c r="K44" s="516">
        <v>12</v>
      </c>
      <c r="L44" s="516">
        <v>12</v>
      </c>
      <c r="M44" s="516">
        <v>12</v>
      </c>
      <c r="N44" s="904">
        <v>9</v>
      </c>
    </row>
    <row r="45" spans="1:14" ht="16.5" customHeight="1" x14ac:dyDescent="0.2">
      <c r="A45" s="216"/>
      <c r="B45" s="217"/>
      <c r="C45" s="217"/>
      <c r="D45" s="217"/>
      <c r="E45" s="217"/>
      <c r="F45" s="217"/>
      <c r="G45" s="217"/>
      <c r="H45" s="217"/>
      <c r="I45" s="217"/>
      <c r="J45" s="217"/>
      <c r="K45" s="217"/>
      <c r="L45" s="217"/>
      <c r="M45" s="217"/>
      <c r="N45" s="617"/>
    </row>
    <row r="46" spans="1:14" ht="16.5" customHeight="1" x14ac:dyDescent="0.2"/>
    <row r="47" spans="1:14" ht="16.5" customHeight="1" x14ac:dyDescent="0.2">
      <c r="A47" s="8"/>
      <c r="B47" s="466"/>
      <c r="C47" s="466"/>
      <c r="D47" s="466"/>
      <c r="H47" s="57"/>
      <c r="L47" s="57"/>
      <c r="M47" s="57"/>
    </row>
    <row r="48" spans="1:14" ht="16.5" customHeight="1" x14ac:dyDescent="0.2">
      <c r="A48" s="8"/>
      <c r="B48" s="466"/>
      <c r="C48" s="466"/>
      <c r="D48" s="466"/>
      <c r="H48" s="57"/>
      <c r="L48" s="57"/>
      <c r="M48" s="57"/>
    </row>
    <row r="49" spans="1:4" ht="16.5" customHeight="1" x14ac:dyDescent="0.2">
      <c r="A49" s="8"/>
      <c r="B49" s="466"/>
      <c r="C49" s="466"/>
      <c r="D49" s="466"/>
    </row>
    <row r="50" spans="1:4" ht="16.5" customHeight="1" x14ac:dyDescent="0.2">
      <c r="A50" s="8"/>
      <c r="B50" s="466"/>
      <c r="C50" s="466"/>
      <c r="D50" s="466"/>
    </row>
    <row r="51" spans="1:4" ht="16.5" customHeight="1" x14ac:dyDescent="0.2"/>
    <row r="52" spans="1:4" ht="16.5" customHeight="1" x14ac:dyDescent="0.2">
      <c r="A52" s="413"/>
    </row>
    <row r="53" spans="1:4" ht="17.100000000000001" customHeight="1" x14ac:dyDescent="0.2">
      <c r="A53" s="413"/>
    </row>
  </sheetData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AF45"/>
  <sheetViews>
    <sheetView zoomScale="85" zoomScaleNormal="85" workbookViewId="0">
      <selection activeCell="F3" sqref="F3"/>
    </sheetView>
  </sheetViews>
  <sheetFormatPr defaultColWidth="9.140625" defaultRowHeight="12.75" x14ac:dyDescent="0.2"/>
  <cols>
    <col min="1" max="1" width="61.140625" customWidth="1"/>
    <col min="2" max="2" width="10" style="59" customWidth="1"/>
    <col min="3" max="3" width="9.42578125" style="59" customWidth="1"/>
    <col min="4" max="5" width="8.7109375" style="59" customWidth="1"/>
    <col min="6" max="6" width="8.42578125" style="59" customWidth="1"/>
    <col min="7" max="9" width="8.7109375" style="59" customWidth="1"/>
    <col min="10" max="10" width="8" style="59" customWidth="1"/>
    <col min="11" max="11" width="8.7109375" style="59" customWidth="1"/>
    <col min="12" max="12" width="8.5703125" style="59" customWidth="1"/>
    <col min="13" max="14" width="8.7109375" style="59" customWidth="1"/>
    <col min="16" max="17" width="9.28515625" customWidth="1"/>
  </cols>
  <sheetData>
    <row r="1" spans="1:32" s="38" customFormat="1" ht="15" x14ac:dyDescent="0.25">
      <c r="A1" s="36" t="s">
        <v>347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32" s="38" customFormat="1" ht="12" customHeight="1" thickBot="1" x14ac:dyDescent="0.3">
      <c r="A2" s="2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spans="1:32" ht="84.95" customHeight="1" x14ac:dyDescent="0.2">
      <c r="A3" s="209"/>
      <c r="B3" s="34" t="s">
        <v>116</v>
      </c>
      <c r="C3" s="34" t="s">
        <v>186</v>
      </c>
      <c r="D3" s="555" t="s">
        <v>70</v>
      </c>
      <c r="E3" s="432" t="s">
        <v>122</v>
      </c>
      <c r="F3" s="1247" t="s">
        <v>211</v>
      </c>
      <c r="G3" s="605" t="s">
        <v>31</v>
      </c>
      <c r="H3" s="547" t="s">
        <v>30</v>
      </c>
      <c r="I3" s="547" t="s">
        <v>210</v>
      </c>
      <c r="J3" s="432" t="s">
        <v>32</v>
      </c>
      <c r="K3" s="580" t="s">
        <v>179</v>
      </c>
      <c r="L3" s="547" t="s">
        <v>174</v>
      </c>
      <c r="M3" s="547" t="s">
        <v>33</v>
      </c>
      <c r="N3" s="1133" t="s">
        <v>114</v>
      </c>
    </row>
    <row r="4" spans="1:32" ht="22.15" customHeight="1" x14ac:dyDescent="0.2">
      <c r="A4" s="210" t="s">
        <v>24</v>
      </c>
      <c r="B4" s="1091"/>
      <c r="C4" s="1091"/>
      <c r="D4" s="548" t="s">
        <v>1</v>
      </c>
      <c r="E4" s="431" t="s">
        <v>2</v>
      </c>
      <c r="F4" s="1244" t="s">
        <v>2</v>
      </c>
      <c r="G4" s="524" t="s">
        <v>1</v>
      </c>
      <c r="H4" s="548" t="s">
        <v>1</v>
      </c>
      <c r="I4" s="548" t="s">
        <v>2</v>
      </c>
      <c r="J4" s="431" t="s">
        <v>1</v>
      </c>
      <c r="K4" s="581" t="s">
        <v>2</v>
      </c>
      <c r="L4" s="548" t="s">
        <v>2</v>
      </c>
      <c r="M4" s="548" t="s">
        <v>1</v>
      </c>
      <c r="N4" s="1134" t="s">
        <v>2</v>
      </c>
    </row>
    <row r="5" spans="1:32" ht="18.75" customHeight="1" x14ac:dyDescent="0.2">
      <c r="A5" s="211" t="s">
        <v>9</v>
      </c>
      <c r="B5" s="1092"/>
      <c r="C5" s="1092"/>
      <c r="D5" s="556">
        <v>140.81</v>
      </c>
      <c r="E5" s="554">
        <v>141.91</v>
      </c>
      <c r="F5" s="557">
        <v>142.63800000000001</v>
      </c>
      <c r="G5" s="549">
        <v>142.75799999999998</v>
      </c>
      <c r="H5" s="549">
        <v>143.35399999999998</v>
      </c>
      <c r="I5" s="557">
        <v>143.65199999999999</v>
      </c>
      <c r="J5" s="549">
        <v>144.07499999999999</v>
      </c>
      <c r="K5" s="557">
        <v>144.089</v>
      </c>
      <c r="L5" s="549">
        <v>144.31799999999998</v>
      </c>
      <c r="M5" s="549">
        <v>144.56200000000001</v>
      </c>
      <c r="N5" s="1094">
        <v>145.69200000000001</v>
      </c>
    </row>
    <row r="6" spans="1:32" s="16" customFormat="1" ht="18" customHeight="1" x14ac:dyDescent="0.2">
      <c r="A6" s="156" t="s">
        <v>72</v>
      </c>
      <c r="B6" s="1093"/>
      <c r="C6" s="1093"/>
      <c r="D6" s="1131"/>
      <c r="E6" s="1131"/>
      <c r="F6" s="1131"/>
      <c r="G6" s="1131"/>
      <c r="H6" s="1131"/>
      <c r="I6" s="1131"/>
      <c r="J6" s="1131"/>
      <c r="K6" s="1131"/>
      <c r="L6" s="1131"/>
      <c r="M6" s="1131"/>
      <c r="N6" s="1132"/>
    </row>
    <row r="7" spans="1:32" s="152" customFormat="1" ht="16.5" customHeight="1" x14ac:dyDescent="0.2">
      <c r="A7" s="437" t="s">
        <v>286</v>
      </c>
      <c r="B7" s="250">
        <v>100</v>
      </c>
      <c r="C7" s="250">
        <v>100.07411820647245</v>
      </c>
      <c r="D7" s="1101">
        <v>99.855631410000001</v>
      </c>
      <c r="E7" s="1040">
        <v>99.468994949999995</v>
      </c>
      <c r="F7" s="1040">
        <v>104.55763810000001</v>
      </c>
      <c r="G7" s="1102">
        <v>99.764578159999999</v>
      </c>
      <c r="H7" s="74">
        <v>99.532387700000001</v>
      </c>
      <c r="I7" s="1040">
        <v>103.4054979</v>
      </c>
      <c r="J7" s="1040">
        <v>101.86155890000001</v>
      </c>
      <c r="K7" s="1040">
        <v>100.9793463</v>
      </c>
      <c r="L7" s="74">
        <v>102.4151208</v>
      </c>
      <c r="M7" s="1040">
        <v>99.356434820000004</v>
      </c>
      <c r="N7" s="1103">
        <v>98.636273639999999</v>
      </c>
      <c r="O7" s="16"/>
      <c r="P7" s="261"/>
      <c r="Q7" s="261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</row>
    <row r="8" spans="1:32" s="125" customFormat="1" ht="17.25" customHeight="1" x14ac:dyDescent="0.2">
      <c r="A8" s="426" t="s">
        <v>288</v>
      </c>
      <c r="B8" s="230">
        <v>100</v>
      </c>
      <c r="C8" s="230">
        <v>100.26000628494114</v>
      </c>
      <c r="D8" s="1104">
        <v>100.92277559999999</v>
      </c>
      <c r="E8" s="68">
        <v>101.1518452</v>
      </c>
      <c r="F8" s="68">
        <v>99.611086599999993</v>
      </c>
      <c r="G8" s="1105">
        <v>99.180417219999995</v>
      </c>
      <c r="H8" s="69">
        <v>99.863791199999994</v>
      </c>
      <c r="I8" s="68">
        <v>101.3365414</v>
      </c>
      <c r="J8" s="68">
        <v>99.260070229999997</v>
      </c>
      <c r="K8" s="68">
        <v>100.83608169999999</v>
      </c>
      <c r="L8" s="69">
        <v>101.1464265</v>
      </c>
      <c r="M8" s="68">
        <v>102.0729772</v>
      </c>
      <c r="N8" s="1106">
        <v>99.615220579999999</v>
      </c>
      <c r="O8" s="16"/>
      <c r="P8" s="261"/>
      <c r="Q8" s="261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25" customFormat="1" ht="17.25" customHeight="1" x14ac:dyDescent="0.2">
      <c r="A9" s="426" t="s">
        <v>278</v>
      </c>
      <c r="B9" s="230">
        <v>100</v>
      </c>
      <c r="C9" s="439">
        <v>100.15509045701776</v>
      </c>
      <c r="D9" s="1104">
        <v>100.38920350500001</v>
      </c>
      <c r="E9" s="68">
        <v>100.3945625875</v>
      </c>
      <c r="F9" s="68">
        <v>102.08436234999999</v>
      </c>
      <c r="G9" s="68">
        <v>99.460814471199996</v>
      </c>
      <c r="H9" s="68">
        <v>99.698089449999998</v>
      </c>
      <c r="I9" s="68">
        <v>102.37101964999999</v>
      </c>
      <c r="J9" s="68">
        <v>100.51263884888888</v>
      </c>
      <c r="K9" s="68">
        <v>100.89748081428571</v>
      </c>
      <c r="L9" s="68">
        <v>101.717338935</v>
      </c>
      <c r="M9" s="68">
        <v>100.71470601</v>
      </c>
      <c r="N9" s="1106">
        <v>99.125747109999978</v>
      </c>
      <c r="O9" s="16"/>
      <c r="P9" s="261"/>
      <c r="Q9" s="261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</row>
    <row r="10" spans="1:32" s="125" customFormat="1" ht="30" customHeight="1" x14ac:dyDescent="0.2">
      <c r="A10" s="440" t="s">
        <v>287</v>
      </c>
      <c r="B10" s="138">
        <v>100</v>
      </c>
      <c r="C10" s="138">
        <v>98.712298943540475</v>
      </c>
      <c r="D10" s="1152">
        <v>100.12891180964712</v>
      </c>
      <c r="E10" s="140">
        <v>96.317809296023057</v>
      </c>
      <c r="F10" s="140">
        <v>102.21904156313317</v>
      </c>
      <c r="G10" s="1107">
        <v>97.028682602348212</v>
      </c>
      <c r="H10" s="139">
        <v>97.681669151875596</v>
      </c>
      <c r="I10" s="140">
        <v>101.58568718774855</v>
      </c>
      <c r="J10" s="140">
        <v>99.898297637988861</v>
      </c>
      <c r="K10" s="140">
        <v>100.57772547491581</v>
      </c>
      <c r="L10" s="139">
        <v>100.59694680449131</v>
      </c>
      <c r="M10" s="140">
        <v>98.823933515842569</v>
      </c>
      <c r="N10" s="726">
        <v>94.968303820933798</v>
      </c>
      <c r="O10" s="16"/>
      <c r="P10" s="261"/>
      <c r="Q10" s="261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</row>
    <row r="11" spans="1:32" s="125" customFormat="1" ht="17.25" customHeight="1" x14ac:dyDescent="0.2">
      <c r="A11" s="426" t="s">
        <v>281</v>
      </c>
      <c r="B11" s="230">
        <v>100</v>
      </c>
      <c r="C11" s="230">
        <v>94.3647688662777</v>
      </c>
      <c r="D11" s="1151">
        <v>92.43818183737271</v>
      </c>
      <c r="E11" s="1108">
        <v>99.099430920211731</v>
      </c>
      <c r="F11" s="1109">
        <v>99.253284063654959</v>
      </c>
      <c r="G11" s="1108">
        <v>97.107781795445703</v>
      </c>
      <c r="H11" s="1108">
        <v>101.21913378289969</v>
      </c>
      <c r="I11" s="1109">
        <v>91.758619618616436</v>
      </c>
      <c r="J11" s="1108">
        <v>92.507427741786032</v>
      </c>
      <c r="K11" s="1109">
        <v>96.537273059752138</v>
      </c>
      <c r="L11" s="1108">
        <v>100.20846749630529</v>
      </c>
      <c r="M11" s="1108">
        <v>88.551319173884337</v>
      </c>
      <c r="N11" s="1110">
        <v>96.465176067843529</v>
      </c>
      <c r="O11" s="16"/>
      <c r="P11" s="261"/>
      <c r="Q11" s="261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</row>
    <row r="12" spans="1:32" s="157" customFormat="1" ht="18" customHeight="1" x14ac:dyDescent="0.2">
      <c r="A12" s="593" t="s">
        <v>212</v>
      </c>
      <c r="B12" s="1138"/>
      <c r="C12" s="1138"/>
      <c r="D12" s="1139"/>
      <c r="E12" s="1139"/>
      <c r="F12" s="1139"/>
      <c r="G12" s="1139"/>
      <c r="H12" s="1139"/>
      <c r="I12" s="1139"/>
      <c r="J12" s="1139"/>
      <c r="K12" s="1139"/>
      <c r="L12" s="1139"/>
      <c r="M12" s="1139"/>
      <c r="N12" s="1140"/>
      <c r="O12" s="154"/>
      <c r="P12" s="261"/>
      <c r="Q12" s="261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</row>
    <row r="13" spans="1:32" s="125" customFormat="1" ht="17.25" customHeight="1" x14ac:dyDescent="0.2">
      <c r="A13" s="436" t="s">
        <v>282</v>
      </c>
      <c r="B13" s="250">
        <v>100</v>
      </c>
      <c r="C13" s="250">
        <v>101.13712705793378</v>
      </c>
      <c r="D13" s="1101">
        <v>100.05142649415656</v>
      </c>
      <c r="E13" s="1040">
        <v>108.36635210300688</v>
      </c>
      <c r="F13" s="1040">
        <v>101.27996788357258</v>
      </c>
      <c r="G13" s="1102">
        <v>99.846331056534126</v>
      </c>
      <c r="H13" s="74">
        <v>104.03615568701754</v>
      </c>
      <c r="I13" s="1040">
        <v>113.74523338547351</v>
      </c>
      <c r="J13" s="74">
        <v>97.619294000648466</v>
      </c>
      <c r="K13" s="1040">
        <v>92.773245037408699</v>
      </c>
      <c r="L13" s="74">
        <v>107.67712944034386</v>
      </c>
      <c r="M13" s="1040">
        <v>104.13242805131219</v>
      </c>
      <c r="N13" s="1103">
        <v>102.87650488181528</v>
      </c>
      <c r="O13" s="16"/>
      <c r="P13" s="261"/>
      <c r="Q13" s="261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</row>
    <row r="14" spans="1:32" s="125" customFormat="1" ht="17.25" customHeight="1" x14ac:dyDescent="0.2">
      <c r="A14" s="429" t="s">
        <v>283</v>
      </c>
      <c r="B14" s="230">
        <v>100</v>
      </c>
      <c r="C14" s="230">
        <v>98.262741490771546</v>
      </c>
      <c r="D14" s="1104">
        <v>102.15812980565626</v>
      </c>
      <c r="E14" s="68">
        <v>96.053996134227845</v>
      </c>
      <c r="F14" s="68">
        <v>101.00079598578802</v>
      </c>
      <c r="G14" s="1105">
        <v>94.608750174109176</v>
      </c>
      <c r="H14" s="69">
        <v>99.419548818298864</v>
      </c>
      <c r="I14" s="68">
        <v>103.68421061683144</v>
      </c>
      <c r="J14" s="69">
        <v>96.662763649596684</v>
      </c>
      <c r="K14" s="68">
        <v>97.611038818128193</v>
      </c>
      <c r="L14" s="69">
        <v>97.327907333299663</v>
      </c>
      <c r="M14" s="68">
        <v>98.46451500619672</v>
      </c>
      <c r="N14" s="1106">
        <v>93.687052610649403</v>
      </c>
      <c r="O14" s="16"/>
      <c r="P14" s="261"/>
      <c r="Q14" s="261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</row>
    <row r="15" spans="1:32" s="125" customFormat="1" ht="17.25" customHeight="1" x14ac:dyDescent="0.2">
      <c r="A15" s="1175" t="s">
        <v>352</v>
      </c>
      <c r="B15" s="233">
        <f>65+6.34564588771548</f>
        <v>71.345645887715477</v>
      </c>
      <c r="C15" s="233">
        <f>65+6.10618343784685</f>
        <v>71.106183437846852</v>
      </c>
      <c r="D15" s="690">
        <f>65+5.76923462322624</f>
        <v>70.769234623226239</v>
      </c>
      <c r="E15" s="1031">
        <f>65+6.0542651727919</f>
        <v>71.054265172791901</v>
      </c>
      <c r="F15" s="1031">
        <f>65+5.49670256336444</f>
        <v>70.496702563364437</v>
      </c>
      <c r="G15" s="1111">
        <f>65+6.7200738427117</f>
        <v>71.720073842711699</v>
      </c>
      <c r="H15" s="1030">
        <f>65+5.33706915244382</f>
        <v>70.337069152443817</v>
      </c>
      <c r="I15" s="1031">
        <f>65+5.46170256336444</f>
        <v>70.46170256336444</v>
      </c>
      <c r="J15" s="1030">
        <f>65+6.58647041840865</f>
        <v>71.586470418408652</v>
      </c>
      <c r="K15" s="1031">
        <f>65+6.22230244444897</f>
        <v>71.222302444448971</v>
      </c>
      <c r="L15" s="1030">
        <f>65+6.60399461814589</f>
        <v>71.60399461814589</v>
      </c>
      <c r="M15" s="1031">
        <f>65+6.11806915244385</f>
        <v>71.118069152443852</v>
      </c>
      <c r="N15" s="1112">
        <f>65+5.8411297711653</f>
        <v>70.841129771165299</v>
      </c>
      <c r="O15" s="16"/>
      <c r="P15" s="261"/>
      <c r="Q15" s="261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</row>
    <row r="16" spans="1:32" s="125" customFormat="1" ht="17.25" customHeight="1" x14ac:dyDescent="0.2">
      <c r="A16" s="429" t="s">
        <v>284</v>
      </c>
      <c r="B16" s="230">
        <v>100</v>
      </c>
      <c r="C16" s="230">
        <v>99.999888218477651</v>
      </c>
      <c r="D16" s="1104">
        <v>99.905472421059301</v>
      </c>
      <c r="E16" s="68">
        <v>98.746478075943642</v>
      </c>
      <c r="F16" s="68">
        <v>106.29259447815369</v>
      </c>
      <c r="G16" s="1105">
        <v>100.51994838647889</v>
      </c>
      <c r="H16" s="69">
        <v>98.342451641727109</v>
      </c>
      <c r="I16" s="68">
        <v>100.24306314974319</v>
      </c>
      <c r="J16" s="69">
        <v>103.62124102856686</v>
      </c>
      <c r="K16" s="68">
        <v>104.93696930080661</v>
      </c>
      <c r="L16" s="69">
        <v>105.03101799941381</v>
      </c>
      <c r="M16" s="68">
        <v>97.610327614556027</v>
      </c>
      <c r="N16" s="1106">
        <v>99.898023230942428</v>
      </c>
      <c r="O16" s="16"/>
      <c r="P16" s="261"/>
      <c r="Q16" s="261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</row>
    <row r="17" spans="1:32" s="235" customFormat="1" ht="17.25" customHeight="1" x14ac:dyDescent="0.2">
      <c r="A17" s="1176" t="s">
        <v>333</v>
      </c>
      <c r="B17" s="233">
        <f>65+-0.0217753235281037</f>
        <v>64.978224676471896</v>
      </c>
      <c r="C17" s="233">
        <f>65+-0.414219309286622</f>
        <v>64.585780690713378</v>
      </c>
      <c r="D17" s="690">
        <f>65+-0.916703464555042</f>
        <v>64.083296535444958</v>
      </c>
      <c r="E17" s="1031">
        <f>65+-1.24697045430714</f>
        <v>63.753029545692861</v>
      </c>
      <c r="F17" s="1031">
        <f>65+-0.148735732957704</f>
        <v>64.851264267042296</v>
      </c>
      <c r="G17" s="1111">
        <f>65+-0.350039180408899</f>
        <v>64.649960819591101</v>
      </c>
      <c r="H17" s="1030">
        <f>65+-0.136895464638116</f>
        <v>64.863104535361884</v>
      </c>
      <c r="I17" s="1031">
        <f>65+-0.260402399624311</f>
        <v>64.739597600375689</v>
      </c>
      <c r="J17" s="1030">
        <f>65+-0.0158446718737224</f>
        <v>64.984155328126278</v>
      </c>
      <c r="K17" s="1031">
        <f>65+0.0365067520253604</f>
        <v>65.03650675202536</v>
      </c>
      <c r="L17" s="1030">
        <f>65+-0.14687061867906</f>
        <v>64.85312938132094</v>
      </c>
      <c r="M17" s="1031">
        <f>65+-0.651613764957361</f>
        <v>64.348386235042639</v>
      </c>
      <c r="N17" s="1112">
        <f>65+-0.820059066789156</f>
        <v>64.179940933210844</v>
      </c>
      <c r="O17" s="234"/>
      <c r="P17" s="261"/>
      <c r="Q17" s="261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</row>
    <row r="18" spans="1:32" s="125" customFormat="1" ht="17.25" customHeight="1" x14ac:dyDescent="0.2">
      <c r="A18" s="438" t="s">
        <v>285</v>
      </c>
      <c r="B18" s="252">
        <v>100</v>
      </c>
      <c r="C18" s="252">
        <v>101.9976768673137</v>
      </c>
      <c r="D18" s="1113">
        <v>97.240805631820834</v>
      </c>
      <c r="E18" s="1114">
        <v>101.34758805627763</v>
      </c>
      <c r="F18" s="1114">
        <v>108.33140178094362</v>
      </c>
      <c r="G18" s="1115">
        <v>105.22488998728232</v>
      </c>
      <c r="H18" s="1045">
        <v>99.263090495076511</v>
      </c>
      <c r="I18" s="1114">
        <v>102.27173607883266</v>
      </c>
      <c r="J18" s="1045">
        <v>107.89165550277006</v>
      </c>
      <c r="K18" s="1114">
        <v>104.26067197503853</v>
      </c>
      <c r="L18" s="1045">
        <v>104.68836564098386</v>
      </c>
      <c r="M18" s="1114">
        <v>100.36794271961875</v>
      </c>
      <c r="N18" s="1116">
        <v>102.31227810711751</v>
      </c>
      <c r="O18" s="16"/>
      <c r="P18" s="261"/>
      <c r="Q18" s="261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</row>
    <row r="19" spans="1:32" s="121" customFormat="1" ht="18" customHeight="1" x14ac:dyDescent="0.2">
      <c r="A19" s="212" t="s">
        <v>13</v>
      </c>
      <c r="B19" s="1141"/>
      <c r="C19" s="1141"/>
      <c r="D19" s="1142"/>
      <c r="E19" s="1131"/>
      <c r="F19" s="1131"/>
      <c r="G19" s="1131"/>
      <c r="H19" s="1131"/>
      <c r="I19" s="1131"/>
      <c r="J19" s="1131"/>
      <c r="K19" s="1131"/>
      <c r="L19" s="1131"/>
      <c r="M19" s="1131"/>
      <c r="N19" s="1132"/>
      <c r="O19" s="16"/>
      <c r="P19" s="261"/>
      <c r="Q19" s="261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</row>
    <row r="20" spans="1:32" s="16" customFormat="1" ht="17.25" customHeight="1" x14ac:dyDescent="0.2">
      <c r="A20" s="208" t="s">
        <v>91</v>
      </c>
      <c r="B20" s="232">
        <v>57.129549166792032</v>
      </c>
      <c r="C20" s="232">
        <v>59.106981131176958</v>
      </c>
      <c r="D20" s="1117">
        <v>57.41102147387118</v>
      </c>
      <c r="E20" s="1118">
        <v>61.84284330007835</v>
      </c>
      <c r="F20" s="1118">
        <v>59.600921113687562</v>
      </c>
      <c r="G20" s="1119">
        <v>58.600575386877182</v>
      </c>
      <c r="H20" s="1120">
        <v>57.82340685311501</v>
      </c>
      <c r="I20" s="1118">
        <v>58.65642111368755</v>
      </c>
      <c r="J20" s="1118">
        <v>62.086495088906396</v>
      </c>
      <c r="K20" s="1118">
        <v>59.399521788991265</v>
      </c>
      <c r="L20" s="1120">
        <v>59.778143515339409</v>
      </c>
      <c r="M20" s="1118">
        <v>59.613406853115023</v>
      </c>
      <c r="N20" s="1121">
        <v>60.964929234796067</v>
      </c>
      <c r="P20" s="261"/>
      <c r="Q20" s="261"/>
    </row>
    <row r="21" spans="1:32" s="16" customFormat="1" ht="17.25" customHeight="1" x14ac:dyDescent="0.2">
      <c r="A21" s="238" t="s">
        <v>89</v>
      </c>
      <c r="B21" s="230">
        <v>51.739951820000002</v>
      </c>
      <c r="C21" s="230">
        <v>53.399300879999998</v>
      </c>
      <c r="D21" s="1104">
        <v>45.376947000000001</v>
      </c>
      <c r="E21" s="68">
        <v>55.753162000000003</v>
      </c>
      <c r="F21" s="68">
        <v>51.772705000000002</v>
      </c>
      <c r="G21" s="1105">
        <v>54.685142999999997</v>
      </c>
      <c r="H21" s="69">
        <v>54.107945999999998</v>
      </c>
      <c r="I21" s="68">
        <v>53.380037999999999</v>
      </c>
      <c r="J21" s="68">
        <v>56.046923</v>
      </c>
      <c r="K21" s="68">
        <v>55.990551000000004</v>
      </c>
      <c r="L21" s="69">
        <v>55.691495000000003</v>
      </c>
      <c r="M21" s="68">
        <v>56.779546000000003</v>
      </c>
      <c r="N21" s="1106">
        <v>52.238850999999997</v>
      </c>
      <c r="P21" s="261"/>
      <c r="Q21" s="261"/>
    </row>
    <row r="22" spans="1:32" s="152" customFormat="1" ht="17.25" customHeight="1" x14ac:dyDescent="0.2">
      <c r="A22" s="254" t="s">
        <v>90</v>
      </c>
      <c r="B22" s="255">
        <v>3.796574407609091</v>
      </c>
      <c r="C22" s="255">
        <v>3.9205277847000004</v>
      </c>
      <c r="D22" s="1122">
        <v>3.3212579409000003</v>
      </c>
      <c r="E22" s="660">
        <v>4.0963612014000006</v>
      </c>
      <c r="F22" s="660">
        <v>3.7990210635000001</v>
      </c>
      <c r="G22" s="1123">
        <v>4.0165801821000002</v>
      </c>
      <c r="H22" s="359">
        <v>3.9734635662</v>
      </c>
      <c r="I22" s="660">
        <v>3.9190888386</v>
      </c>
      <c r="J22" s="660">
        <v>4.1183051481000001</v>
      </c>
      <c r="K22" s="660">
        <v>4.1140941597000005</v>
      </c>
      <c r="L22" s="359">
        <v>4.0917546765000008</v>
      </c>
      <c r="M22" s="660">
        <v>4.173032086200001</v>
      </c>
      <c r="N22" s="1124">
        <v>3.8338421697</v>
      </c>
      <c r="O22" s="16"/>
      <c r="P22" s="261"/>
      <c r="Q22" s="261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</row>
    <row r="23" spans="1:32" s="127" customFormat="1" ht="17.25" customHeight="1" x14ac:dyDescent="0.2">
      <c r="A23" s="597" t="s">
        <v>213</v>
      </c>
      <c r="B23" s="253">
        <v>7.2676106315334623</v>
      </c>
      <c r="C23" s="253">
        <v>7.2139806119988386</v>
      </c>
      <c r="D23" s="1125">
        <v>7.1116531016777849</v>
      </c>
      <c r="E23" s="669" t="s">
        <v>277</v>
      </c>
      <c r="F23" s="1126" t="s">
        <v>279</v>
      </c>
      <c r="G23" s="1127">
        <v>7.2020500457420544</v>
      </c>
      <c r="H23" s="1128">
        <v>6.8885706808713909</v>
      </c>
      <c r="I23" s="1126" t="s">
        <v>280</v>
      </c>
      <c r="J23" s="670">
        <v>7.2480927260081378</v>
      </c>
      <c r="K23" s="669" t="s">
        <v>5</v>
      </c>
      <c r="L23" s="1129" t="s">
        <v>195</v>
      </c>
      <c r="M23" s="670">
        <v>7.619536505694823</v>
      </c>
      <c r="N23" s="1130">
        <v>7.4249398055071776</v>
      </c>
      <c r="O23" s="16"/>
      <c r="P23" s="261"/>
      <c r="Q23" s="261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</row>
    <row r="24" spans="1:32" s="155" customFormat="1" ht="18" customHeight="1" x14ac:dyDescent="0.2">
      <c r="A24" s="213" t="s">
        <v>14</v>
      </c>
      <c r="B24" s="1143"/>
      <c r="C24" s="1143"/>
      <c r="D24" s="1139"/>
      <c r="E24" s="1144"/>
      <c r="F24" s="1144"/>
      <c r="G24" s="1139"/>
      <c r="H24" s="1144"/>
      <c r="I24" s="1144"/>
      <c r="J24" s="1144"/>
      <c r="K24" s="1144"/>
      <c r="L24" s="1144"/>
      <c r="M24" s="1144"/>
      <c r="N24" s="1145"/>
      <c r="O24" s="154"/>
      <c r="P24" s="154"/>
      <c r="Q24" s="154"/>
      <c r="R24" s="154"/>
      <c r="S24" s="154"/>
      <c r="T24" s="154"/>
      <c r="U24" s="154"/>
      <c r="V24" s="154"/>
      <c r="W24" s="154"/>
      <c r="X24" s="154"/>
      <c r="Y24" s="154"/>
      <c r="Z24" s="154"/>
      <c r="AA24" s="154"/>
      <c r="AB24" s="154"/>
      <c r="AC24" s="154"/>
      <c r="AD24" s="154"/>
      <c r="AE24" s="154"/>
      <c r="AF24" s="154"/>
    </row>
    <row r="25" spans="1:32" s="257" customFormat="1" ht="17.25" customHeight="1" x14ac:dyDescent="0.2">
      <c r="A25" s="244" t="s">
        <v>217</v>
      </c>
      <c r="B25" s="204">
        <v>4.786363636363637</v>
      </c>
      <c r="C25" s="204">
        <v>4.33</v>
      </c>
      <c r="D25" s="691">
        <v>6.2</v>
      </c>
      <c r="E25" s="692" t="s">
        <v>5</v>
      </c>
      <c r="F25" s="658" t="s">
        <v>5</v>
      </c>
      <c r="G25" s="661">
        <v>3.3</v>
      </c>
      <c r="H25" s="661">
        <v>3.8</v>
      </c>
      <c r="I25" s="658" t="s">
        <v>5</v>
      </c>
      <c r="J25" s="693">
        <v>4.55</v>
      </c>
      <c r="K25" s="658" t="s">
        <v>5</v>
      </c>
      <c r="L25" s="694" t="s">
        <v>5</v>
      </c>
      <c r="M25" s="693">
        <v>3.8</v>
      </c>
      <c r="N25" s="1095" t="s">
        <v>5</v>
      </c>
      <c r="O25" s="384"/>
      <c r="P25" s="154"/>
      <c r="Q25" s="154"/>
      <c r="R25" s="154"/>
      <c r="S25" s="154"/>
      <c r="T25" s="154"/>
      <c r="U25" s="154"/>
      <c r="V25" s="154"/>
      <c r="W25" s="154"/>
      <c r="X25" s="154"/>
      <c r="Y25" s="154"/>
      <c r="Z25" s="154"/>
      <c r="AA25" s="154"/>
      <c r="AB25" s="154"/>
      <c r="AC25" s="154"/>
      <c r="AD25" s="154"/>
      <c r="AE25" s="154"/>
      <c r="AF25" s="154"/>
    </row>
    <row r="26" spans="1:32" s="257" customFormat="1" ht="17.25" customHeight="1" x14ac:dyDescent="0.2">
      <c r="A26" s="244" t="s">
        <v>216</v>
      </c>
      <c r="B26" s="204">
        <v>6.7081971534962213</v>
      </c>
      <c r="C26" s="204">
        <v>6.8354286444915662</v>
      </c>
      <c r="D26" s="691">
        <v>6.6372608633477999</v>
      </c>
      <c r="E26" s="692">
        <v>6.6372608633477999</v>
      </c>
      <c r="F26" s="694" t="s">
        <v>5</v>
      </c>
      <c r="G26" s="661">
        <v>6.6992628219553421</v>
      </c>
      <c r="H26" s="661">
        <v>6.832849061731336</v>
      </c>
      <c r="I26" s="694" t="s">
        <v>5</v>
      </c>
      <c r="J26" s="661">
        <v>6.9833227141638519</v>
      </c>
      <c r="K26" s="661">
        <v>6.764294557732824</v>
      </c>
      <c r="L26" s="694">
        <v>7.1593805757723565</v>
      </c>
      <c r="M26" s="661">
        <v>7.0244477612595002</v>
      </c>
      <c r="N26" s="1096" t="s">
        <v>277</v>
      </c>
      <c r="O26" s="384"/>
      <c r="P26" s="154"/>
      <c r="Q26" s="154"/>
      <c r="R26" s="154"/>
      <c r="S26" s="154"/>
      <c r="T26" s="154"/>
      <c r="U26" s="154"/>
      <c r="V26" s="154"/>
      <c r="W26" s="154"/>
      <c r="X26" s="154"/>
      <c r="Y26" s="154"/>
      <c r="Z26" s="154"/>
      <c r="AA26" s="154"/>
      <c r="AB26" s="154"/>
      <c r="AC26" s="154"/>
      <c r="AD26" s="154"/>
      <c r="AE26" s="154"/>
      <c r="AF26" s="154"/>
    </row>
    <row r="27" spans="1:32" s="258" customFormat="1" ht="17.25" customHeight="1" x14ac:dyDescent="0.2">
      <c r="A27" s="246" t="s">
        <v>218</v>
      </c>
      <c r="B27" s="204">
        <v>6.418114040910976</v>
      </c>
      <c r="C27" s="204">
        <v>6.0506083946032998</v>
      </c>
      <c r="D27" s="690">
        <v>6.3025265664828716</v>
      </c>
      <c r="E27" s="692">
        <v>6.5983447012759591</v>
      </c>
      <c r="F27" s="661" t="s">
        <v>277</v>
      </c>
      <c r="G27" s="661">
        <v>5.7585000000000006</v>
      </c>
      <c r="H27" s="661">
        <v>5.8357074683808516</v>
      </c>
      <c r="I27" s="661" t="s">
        <v>195</v>
      </c>
      <c r="J27" s="661">
        <v>5.0732079381527679</v>
      </c>
      <c r="K27" s="694" t="s">
        <v>228</v>
      </c>
      <c r="L27" s="694">
        <v>5.4674687553104953</v>
      </c>
      <c r="M27" s="661">
        <v>7.283100000000001</v>
      </c>
      <c r="N27" s="1096">
        <v>6.7061839272563253</v>
      </c>
      <c r="O27" s="384"/>
      <c r="P27" s="154"/>
      <c r="Q27" s="154"/>
      <c r="R27" s="154"/>
      <c r="S27" s="154"/>
      <c r="T27" s="154"/>
      <c r="U27" s="154"/>
      <c r="V27" s="154"/>
      <c r="W27" s="154"/>
      <c r="X27" s="154"/>
      <c r="Y27" s="154"/>
      <c r="Z27" s="154"/>
      <c r="AA27" s="154"/>
      <c r="AB27" s="154"/>
      <c r="AC27" s="154"/>
      <c r="AD27" s="154"/>
      <c r="AE27" s="154"/>
      <c r="AF27" s="154"/>
    </row>
    <row r="28" spans="1:32" s="257" customFormat="1" ht="17.25" customHeight="1" x14ac:dyDescent="0.2">
      <c r="A28" s="246" t="s">
        <v>214</v>
      </c>
      <c r="B28" s="204">
        <v>6.8090962907794541</v>
      </c>
      <c r="C28" s="204">
        <v>6.9171129741313253</v>
      </c>
      <c r="D28" s="696">
        <v>6.712187723839266</v>
      </c>
      <c r="E28" s="666">
        <v>7.7867938619196329</v>
      </c>
      <c r="F28" s="665">
        <v>7.1381965738195614</v>
      </c>
      <c r="G28" s="665">
        <v>6.6741456151604126</v>
      </c>
      <c r="H28" s="665">
        <v>7.2367482293118934</v>
      </c>
      <c r="I28" s="665">
        <v>6.6741456151604126</v>
      </c>
      <c r="J28" s="648">
        <v>6.6741456151604126</v>
      </c>
      <c r="K28" s="665">
        <v>6.636753942758534</v>
      </c>
      <c r="L28" s="665">
        <v>6.956326932634866</v>
      </c>
      <c r="M28" s="665">
        <v>7.2883376871846428</v>
      </c>
      <c r="N28" s="188">
        <v>7.3416774253173704</v>
      </c>
      <c r="O28" s="384"/>
      <c r="P28" s="154"/>
      <c r="Q28" s="154"/>
      <c r="R28" s="154"/>
      <c r="S28" s="154"/>
      <c r="T28" s="154"/>
      <c r="U28" s="154"/>
      <c r="V28" s="154"/>
      <c r="W28" s="154"/>
      <c r="X28" s="154"/>
      <c r="Y28" s="154"/>
      <c r="Z28" s="154"/>
      <c r="AA28" s="154"/>
      <c r="AB28" s="154"/>
      <c r="AC28" s="154"/>
      <c r="AD28" s="154"/>
      <c r="AE28" s="154"/>
      <c r="AF28" s="154"/>
    </row>
    <row r="29" spans="1:32" s="101" customFormat="1" ht="9" customHeight="1" x14ac:dyDescent="0.2">
      <c r="A29" s="1146"/>
      <c r="B29" s="1147"/>
      <c r="C29" s="1147"/>
      <c r="D29" s="1148"/>
      <c r="E29" s="1149"/>
      <c r="F29" s="1149"/>
      <c r="G29" s="1148"/>
      <c r="H29" s="1149"/>
      <c r="I29" s="1149"/>
      <c r="J29" s="1149"/>
      <c r="K29" s="1149"/>
      <c r="L29" s="1149"/>
      <c r="M29" s="1149"/>
      <c r="N29" s="1150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</row>
    <row r="30" spans="1:32" s="155" customFormat="1" ht="17.25" customHeight="1" x14ac:dyDescent="0.2">
      <c r="A30" s="210" t="s">
        <v>7</v>
      </c>
      <c r="B30" s="1086"/>
      <c r="C30" s="744"/>
      <c r="D30" s="697">
        <v>2012</v>
      </c>
      <c r="E30" s="526">
        <v>2020</v>
      </c>
      <c r="F30" s="526">
        <v>2022</v>
      </c>
      <c r="G30" s="698">
        <v>2006</v>
      </c>
      <c r="H30" s="699">
        <v>2004</v>
      </c>
      <c r="I30" s="526">
        <v>2022</v>
      </c>
      <c r="J30" s="700">
        <v>2001</v>
      </c>
      <c r="K30" s="526">
        <v>2021</v>
      </c>
      <c r="L30" s="701">
        <v>2020</v>
      </c>
      <c r="M30" s="700">
        <v>2004</v>
      </c>
      <c r="N30" s="1097">
        <v>2019</v>
      </c>
      <c r="O30" s="154"/>
      <c r="P30" s="154"/>
      <c r="Q30" s="154"/>
      <c r="R30" s="154"/>
      <c r="S30" s="154"/>
      <c r="T30" s="154"/>
      <c r="U30" s="154"/>
      <c r="V30" s="154"/>
      <c r="W30" s="154"/>
      <c r="X30" s="154"/>
      <c r="Y30" s="154"/>
      <c r="Z30" s="154"/>
      <c r="AA30" s="154"/>
      <c r="AB30" s="154"/>
      <c r="AC30" s="154"/>
      <c r="AD30" s="154"/>
      <c r="AE30" s="154"/>
      <c r="AF30" s="154"/>
    </row>
    <row r="31" spans="1:32" s="155" customFormat="1" ht="17.25" customHeight="1" x14ac:dyDescent="0.2">
      <c r="A31" s="1215" t="s">
        <v>354</v>
      </c>
      <c r="B31" s="1086"/>
      <c r="C31" s="744"/>
      <c r="D31" s="1223" t="s">
        <v>384</v>
      </c>
      <c r="E31" s="1222" t="s">
        <v>358</v>
      </c>
      <c r="F31" s="1222" t="s">
        <v>360</v>
      </c>
      <c r="G31" s="1225" t="s">
        <v>385</v>
      </c>
      <c r="H31" s="1222" t="s">
        <v>386</v>
      </c>
      <c r="I31" s="1222" t="s">
        <v>387</v>
      </c>
      <c r="J31" s="1222" t="s">
        <v>377</v>
      </c>
      <c r="K31" s="1222" t="s">
        <v>360</v>
      </c>
      <c r="L31" s="1222" t="s">
        <v>360</v>
      </c>
      <c r="M31" s="1222" t="s">
        <v>358</v>
      </c>
      <c r="N31" s="1222" t="s">
        <v>362</v>
      </c>
      <c r="O31" s="154"/>
      <c r="P31" s="154"/>
      <c r="Q31" s="154"/>
      <c r="R31" s="154"/>
      <c r="S31" s="154"/>
      <c r="T31" s="154"/>
      <c r="U31" s="154"/>
      <c r="V31" s="154"/>
      <c r="W31" s="154"/>
      <c r="X31" s="154"/>
      <c r="Y31" s="154"/>
      <c r="Z31" s="154"/>
      <c r="AA31" s="154"/>
      <c r="AB31" s="154"/>
      <c r="AC31" s="154"/>
      <c r="AD31" s="154"/>
      <c r="AE31" s="154"/>
      <c r="AF31" s="154"/>
    </row>
    <row r="32" spans="1:32" s="155" customFormat="1" ht="17.25" customHeight="1" x14ac:dyDescent="0.2">
      <c r="A32" s="1215" t="s">
        <v>355</v>
      </c>
      <c r="B32" s="1086"/>
      <c r="C32" s="744"/>
      <c r="D32" s="1222" t="s">
        <v>360</v>
      </c>
      <c r="E32" s="1222" t="s">
        <v>361</v>
      </c>
      <c r="F32" s="1224" t="s">
        <v>360</v>
      </c>
      <c r="G32" s="1222" t="s">
        <v>368</v>
      </c>
      <c r="H32" s="1222" t="s">
        <v>359</v>
      </c>
      <c r="I32" s="1222" t="s">
        <v>368</v>
      </c>
      <c r="J32" s="1222" t="s">
        <v>359</v>
      </c>
      <c r="K32" s="1222" t="s">
        <v>360</v>
      </c>
      <c r="L32" s="1224" t="s">
        <v>360</v>
      </c>
      <c r="M32" s="1224" t="s">
        <v>367</v>
      </c>
      <c r="N32" s="1222" t="s">
        <v>366</v>
      </c>
      <c r="O32" s="154"/>
      <c r="P32" s="154"/>
      <c r="Q32" s="154"/>
      <c r="R32" s="154"/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4"/>
      <c r="AD32" s="154"/>
      <c r="AE32" s="154"/>
      <c r="AF32" s="154"/>
    </row>
    <row r="33" spans="1:32" s="121" customFormat="1" ht="15.75" customHeight="1" x14ac:dyDescent="0.2">
      <c r="A33" s="215" t="s">
        <v>8</v>
      </c>
      <c r="B33" s="1087"/>
      <c r="C33" s="1087"/>
      <c r="D33" s="1135"/>
      <c r="E33" s="1136"/>
      <c r="F33" s="1136"/>
      <c r="G33" s="1136"/>
      <c r="H33" s="1136"/>
      <c r="I33" s="1136"/>
      <c r="J33" s="1136"/>
      <c r="K33" s="1136"/>
      <c r="L33" s="1136"/>
      <c r="M33" s="1136"/>
      <c r="N33" s="1137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</row>
    <row r="34" spans="1:32" s="152" customFormat="1" ht="15.75" customHeight="1" x14ac:dyDescent="0.2">
      <c r="A34" s="247" t="s">
        <v>28</v>
      </c>
      <c r="B34" s="1088"/>
      <c r="C34" s="1088"/>
      <c r="D34" s="702">
        <v>9</v>
      </c>
      <c r="E34" s="678">
        <v>4</v>
      </c>
      <c r="F34" s="678">
        <v>3</v>
      </c>
      <c r="G34" s="703">
        <v>15</v>
      </c>
      <c r="H34" s="677">
        <v>9</v>
      </c>
      <c r="I34" s="678">
        <v>3</v>
      </c>
      <c r="J34" s="677">
        <v>15</v>
      </c>
      <c r="K34" s="678">
        <v>3</v>
      </c>
      <c r="L34" s="677">
        <v>4</v>
      </c>
      <c r="M34" s="678">
        <v>10</v>
      </c>
      <c r="N34" s="1098">
        <v>7</v>
      </c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</row>
    <row r="35" spans="1:32" s="125" customFormat="1" ht="15.75" customHeight="1" x14ac:dyDescent="0.2">
      <c r="A35" s="248" t="s">
        <v>25</v>
      </c>
      <c r="B35" s="1089"/>
      <c r="C35" s="1089"/>
      <c r="D35" s="704">
        <v>11</v>
      </c>
      <c r="E35" s="682">
        <v>11</v>
      </c>
      <c r="F35" s="682">
        <v>6</v>
      </c>
      <c r="G35" s="705">
        <v>26</v>
      </c>
      <c r="H35" s="681">
        <v>10</v>
      </c>
      <c r="I35" s="682">
        <v>6</v>
      </c>
      <c r="J35" s="681">
        <v>28</v>
      </c>
      <c r="K35" s="682">
        <v>8</v>
      </c>
      <c r="L35" s="681">
        <v>11</v>
      </c>
      <c r="M35" s="682">
        <v>10</v>
      </c>
      <c r="N35" s="1099">
        <v>12</v>
      </c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</row>
    <row r="36" spans="1:32" s="125" customFormat="1" ht="15.75" customHeight="1" thickBot="1" x14ac:dyDescent="0.25">
      <c r="A36" s="239" t="s">
        <v>26</v>
      </c>
      <c r="B36" s="1090"/>
      <c r="C36" s="1090"/>
      <c r="D36" s="706">
        <v>11</v>
      </c>
      <c r="E36" s="192">
        <v>9</v>
      </c>
      <c r="F36" s="192">
        <v>6</v>
      </c>
      <c r="G36" s="707">
        <v>24</v>
      </c>
      <c r="H36" s="165">
        <v>10</v>
      </c>
      <c r="I36" s="192">
        <v>6</v>
      </c>
      <c r="J36" s="165">
        <v>26</v>
      </c>
      <c r="K36" s="192">
        <v>6</v>
      </c>
      <c r="L36" s="165">
        <v>9</v>
      </c>
      <c r="M36" s="192">
        <v>10</v>
      </c>
      <c r="N36" s="1100">
        <v>12</v>
      </c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</row>
    <row r="37" spans="1:32" x14ac:dyDescent="0.2">
      <c r="A37" s="216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</row>
    <row r="38" spans="1:32" x14ac:dyDescent="0.2">
      <c r="A38" s="1"/>
      <c r="E38" s="44"/>
      <c r="F38" s="44"/>
      <c r="H38" s="44"/>
      <c r="I38" s="44"/>
      <c r="J38" s="44"/>
      <c r="K38" s="44"/>
      <c r="L38" s="44"/>
      <c r="M38" s="44"/>
      <c r="N38" s="44"/>
    </row>
    <row r="39" spans="1:32" x14ac:dyDescent="0.2">
      <c r="A39" s="1"/>
    </row>
    <row r="40" spans="1:32" x14ac:dyDescent="0.2">
      <c r="A40" s="1"/>
    </row>
    <row r="41" spans="1:32" x14ac:dyDescent="0.2">
      <c r="A41" s="99"/>
      <c r="B41" s="57"/>
      <c r="C41" s="57"/>
      <c r="D41" s="57"/>
      <c r="G41" s="57"/>
    </row>
    <row r="42" spans="1:32" x14ac:dyDescent="0.2">
      <c r="D42"/>
      <c r="E42" s="16"/>
      <c r="F42" s="16"/>
      <c r="G42"/>
      <c r="H42" s="16"/>
      <c r="I42" s="16"/>
      <c r="J42" s="16"/>
      <c r="K42" s="16"/>
      <c r="L42" s="16"/>
      <c r="M42" s="154"/>
      <c r="N42" s="154"/>
    </row>
    <row r="43" spans="1:32" x14ac:dyDescent="0.2">
      <c r="D43" s="396"/>
      <c r="E43" s="396"/>
      <c r="F43" s="396"/>
      <c r="G43" s="396"/>
      <c r="H43" s="396"/>
      <c r="I43" s="396"/>
      <c r="J43" s="396"/>
      <c r="K43" s="396"/>
      <c r="L43" s="396"/>
      <c r="M43" s="396"/>
      <c r="N43" s="396"/>
    </row>
    <row r="44" spans="1:32" x14ac:dyDescent="0.2">
      <c r="D44" s="396"/>
      <c r="E44" s="396"/>
      <c r="F44" s="396"/>
      <c r="G44" s="396"/>
      <c r="H44" s="396"/>
      <c r="I44" s="396"/>
      <c r="J44" s="396"/>
      <c r="K44" s="396"/>
      <c r="L44" s="396"/>
      <c r="M44" s="396"/>
      <c r="N44" s="396"/>
    </row>
    <row r="45" spans="1:32" x14ac:dyDescent="0.2">
      <c r="D45" s="396"/>
      <c r="E45" s="396"/>
      <c r="F45" s="396"/>
      <c r="G45" s="396"/>
      <c r="H45" s="396"/>
      <c r="I45" s="396"/>
      <c r="J45" s="396"/>
      <c r="K45" s="396"/>
      <c r="L45" s="396"/>
      <c r="M45" s="396"/>
      <c r="N45" s="396"/>
    </row>
  </sheetData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9" scale="62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pageSetUpPr fitToPage="1"/>
  </sheetPr>
  <dimension ref="A1:BZ41"/>
  <sheetViews>
    <sheetView zoomScale="80" zoomScaleNormal="80" workbookViewId="0">
      <selection activeCell="D24" sqref="D24"/>
    </sheetView>
  </sheetViews>
  <sheetFormatPr defaultColWidth="9.140625" defaultRowHeight="12.75" x14ac:dyDescent="0.2"/>
  <cols>
    <col min="1" max="1" width="61.42578125" customWidth="1"/>
    <col min="2" max="2" width="10.85546875" style="59" customWidth="1"/>
    <col min="3" max="3" width="9.140625" style="59" customWidth="1"/>
    <col min="4" max="5" width="8.5703125" style="59" customWidth="1"/>
    <col min="6" max="8" width="9.28515625" style="59" customWidth="1"/>
    <col min="9" max="9" width="10" style="59" customWidth="1"/>
    <col min="10" max="13" width="9.28515625" style="59" customWidth="1"/>
  </cols>
  <sheetData>
    <row r="1" spans="1:78" s="38" customFormat="1" ht="15" x14ac:dyDescent="0.25">
      <c r="A1" s="36" t="s">
        <v>348</v>
      </c>
      <c r="B1" s="37"/>
      <c r="C1" s="37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78" ht="9" customHeight="1" thickBot="1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78" ht="96.6" customHeight="1" x14ac:dyDescent="0.2">
      <c r="A3" s="209"/>
      <c r="B3" s="56" t="s">
        <v>116</v>
      </c>
      <c r="C3" s="34" t="s">
        <v>187</v>
      </c>
      <c r="D3" s="465" t="s">
        <v>201</v>
      </c>
      <c r="E3" s="465" t="s">
        <v>126</v>
      </c>
      <c r="F3" s="465" t="s">
        <v>123</v>
      </c>
      <c r="G3" s="1174" t="s">
        <v>124</v>
      </c>
      <c r="H3" s="465" t="s">
        <v>200</v>
      </c>
      <c r="I3" s="465" t="s">
        <v>127</v>
      </c>
      <c r="J3" s="1174" t="s">
        <v>129</v>
      </c>
      <c r="K3" s="1174" t="s">
        <v>125</v>
      </c>
      <c r="L3" s="1174" t="s">
        <v>128</v>
      </c>
      <c r="M3" s="461" t="s">
        <v>130</v>
      </c>
    </row>
    <row r="4" spans="1:78" ht="27.75" customHeight="1" x14ac:dyDescent="0.2">
      <c r="A4" s="210" t="s">
        <v>24</v>
      </c>
      <c r="B4" s="1154"/>
      <c r="C4" s="1091"/>
      <c r="D4" s="411" t="s">
        <v>3</v>
      </c>
      <c r="E4" s="411" t="s">
        <v>1</v>
      </c>
      <c r="F4" s="431" t="s">
        <v>1</v>
      </c>
      <c r="G4" s="548" t="s">
        <v>1</v>
      </c>
      <c r="H4" s="548" t="s">
        <v>3</v>
      </c>
      <c r="I4" s="548" t="s">
        <v>3</v>
      </c>
      <c r="J4" s="548" t="s">
        <v>1</v>
      </c>
      <c r="K4" s="548" t="s">
        <v>1</v>
      </c>
      <c r="L4" s="431" t="s">
        <v>1</v>
      </c>
      <c r="M4" s="801" t="s">
        <v>1</v>
      </c>
      <c r="P4" s="202"/>
      <c r="Q4" s="202"/>
      <c r="R4" s="202"/>
      <c r="S4" s="202"/>
      <c r="T4" s="202"/>
      <c r="U4" s="202"/>
      <c r="V4" s="202"/>
      <c r="W4" s="202"/>
      <c r="X4" s="202"/>
      <c r="Y4" s="346"/>
      <c r="Z4" s="202"/>
      <c r="AA4" s="346"/>
    </row>
    <row r="5" spans="1:78" ht="21.75" customHeight="1" x14ac:dyDescent="0.2">
      <c r="A5" s="211" t="s">
        <v>9</v>
      </c>
      <c r="B5" s="1155"/>
      <c r="C5" s="1092"/>
      <c r="D5" s="15">
        <v>140.65899999999999</v>
      </c>
      <c r="E5" s="15">
        <v>140.77500000000001</v>
      </c>
      <c r="F5" s="336">
        <v>140.87700000000001</v>
      </c>
      <c r="G5" s="15">
        <v>141.48500000000001</v>
      </c>
      <c r="H5" s="15">
        <v>141.74700000000001</v>
      </c>
      <c r="I5" s="15">
        <v>142.23500000000001</v>
      </c>
      <c r="J5" s="15">
        <v>142.70400000000001</v>
      </c>
      <c r="K5" s="15">
        <v>143.251</v>
      </c>
      <c r="L5" s="15">
        <v>143.517</v>
      </c>
      <c r="M5" s="1156">
        <v>143.76</v>
      </c>
    </row>
    <row r="6" spans="1:78" s="125" customFormat="1" ht="17.25" customHeight="1" x14ac:dyDescent="0.2">
      <c r="A6" s="156" t="s">
        <v>72</v>
      </c>
      <c r="B6" s="1093"/>
      <c r="C6" s="1093"/>
      <c r="D6" s="1131"/>
      <c r="E6" s="1131"/>
      <c r="F6" s="1131"/>
      <c r="G6" s="1131"/>
      <c r="H6" s="1131"/>
      <c r="I6" s="1131"/>
      <c r="J6" s="1131"/>
      <c r="K6" s="1131"/>
      <c r="L6" s="1131"/>
      <c r="M6" s="1132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</row>
    <row r="7" spans="1:78" s="125" customFormat="1" ht="17.25" customHeight="1" x14ac:dyDescent="0.2">
      <c r="A7" s="437" t="s">
        <v>286</v>
      </c>
      <c r="B7" s="250">
        <v>100</v>
      </c>
      <c r="C7" s="250">
        <v>99.93823482793961</v>
      </c>
      <c r="D7" s="74">
        <v>102.47638315424834</v>
      </c>
      <c r="E7" s="1040">
        <v>99.374087050299494</v>
      </c>
      <c r="F7" s="1040">
        <v>97.430906559831612</v>
      </c>
      <c r="G7" s="1102">
        <v>101.56200501896346</v>
      </c>
      <c r="H7" s="74">
        <v>103.287906529427</v>
      </c>
      <c r="I7" s="1040">
        <v>100.91176415558508</v>
      </c>
      <c r="J7" s="1040">
        <v>100.65479466183406</v>
      </c>
      <c r="K7" s="1040">
        <v>100.45542852923762</v>
      </c>
      <c r="L7" s="1040">
        <v>100.15218714747134</v>
      </c>
      <c r="M7" s="1057">
        <v>102.04435861073617</v>
      </c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</row>
    <row r="8" spans="1:78" s="125" customFormat="1" ht="17.25" customHeight="1" x14ac:dyDescent="0.2">
      <c r="A8" s="426" t="s">
        <v>288</v>
      </c>
      <c r="B8" s="230">
        <v>100</v>
      </c>
      <c r="C8" s="230">
        <v>99.783328095882382</v>
      </c>
      <c r="D8" s="69">
        <v>92.834670505738501</v>
      </c>
      <c r="E8" s="68">
        <v>101.67517041662543</v>
      </c>
      <c r="F8" s="68">
        <v>101.46773894574693</v>
      </c>
      <c r="G8" s="1105">
        <v>96.949207185656633</v>
      </c>
      <c r="H8" s="69">
        <v>94.421874720804198</v>
      </c>
      <c r="I8" s="68">
        <v>96.107076667560563</v>
      </c>
      <c r="J8" s="68">
        <v>99.846157684365863</v>
      </c>
      <c r="K8" s="68">
        <v>99.36566191494984</v>
      </c>
      <c r="L8" s="68">
        <v>99.396032427949606</v>
      </c>
      <c r="M8" s="641">
        <v>99.467391328327125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</row>
    <row r="9" spans="1:78" s="125" customFormat="1" ht="17.25" customHeight="1" x14ac:dyDescent="0.2">
      <c r="A9" s="426" t="s">
        <v>278</v>
      </c>
      <c r="B9" s="230">
        <v>100</v>
      </c>
      <c r="C9" s="439">
        <v>99.838169707826168</v>
      </c>
      <c r="D9" s="1105">
        <v>97.655526829993434</v>
      </c>
      <c r="E9" s="69">
        <v>100.52462873346246</v>
      </c>
      <c r="F9" s="68">
        <v>99.449322752789286</v>
      </c>
      <c r="G9" s="1105">
        <v>99.11993557780103</v>
      </c>
      <c r="H9" s="1105">
        <v>98.411589034684468</v>
      </c>
      <c r="I9" s="1105">
        <v>98.269186037171579</v>
      </c>
      <c r="J9" s="1105">
        <v>100.25047617309997</v>
      </c>
      <c r="K9" s="1105">
        <v>99.910545222093731</v>
      </c>
      <c r="L9" s="1105">
        <v>99.774109787710486</v>
      </c>
      <c r="M9" s="1157">
        <v>100.75587496953166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</row>
    <row r="10" spans="1:78" s="125" customFormat="1" ht="28.5" customHeight="1" x14ac:dyDescent="0.2">
      <c r="A10" s="440" t="s">
        <v>287</v>
      </c>
      <c r="B10" s="138">
        <v>100</v>
      </c>
      <c r="C10" s="138">
        <v>101.07308421371627</v>
      </c>
      <c r="D10" s="139">
        <v>100.96996548918202</v>
      </c>
      <c r="E10" s="140">
        <v>99.183290661543737</v>
      </c>
      <c r="F10" s="140">
        <v>98.71570837101288</v>
      </c>
      <c r="G10" s="1107">
        <v>103.16293161854914</v>
      </c>
      <c r="H10" s="139">
        <v>101.63051570364206</v>
      </c>
      <c r="I10" s="140">
        <v>100.17120842722905</v>
      </c>
      <c r="J10" s="140">
        <v>100.85871386397018</v>
      </c>
      <c r="K10" s="140">
        <v>102.99974954358055</v>
      </c>
      <c r="L10" s="140">
        <v>101.51811122364118</v>
      </c>
      <c r="M10" s="645">
        <v>103.95461146615418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</row>
    <row r="11" spans="1:78" s="125" customFormat="1" ht="17.25" customHeight="1" x14ac:dyDescent="0.2">
      <c r="A11" s="426" t="s">
        <v>281</v>
      </c>
      <c r="B11" s="230">
        <v>100</v>
      </c>
      <c r="C11" s="230">
        <v>104.69602594476861</v>
      </c>
      <c r="D11" s="1108">
        <v>117.89046839606907</v>
      </c>
      <c r="E11" s="1109">
        <v>105.43847219299083</v>
      </c>
      <c r="F11" s="1108">
        <v>111.722052539128</v>
      </c>
      <c r="G11" s="1108">
        <v>99.089621711794592</v>
      </c>
      <c r="H11" s="1108">
        <v>108.35769964569339</v>
      </c>
      <c r="I11" s="1108">
        <v>109.25133802918732</v>
      </c>
      <c r="J11" s="1108">
        <v>107.64618793241642</v>
      </c>
      <c r="K11" s="1109">
        <v>106.89433384661487</v>
      </c>
      <c r="L11" s="1108">
        <v>97.385487445666868</v>
      </c>
      <c r="M11" s="1110">
        <v>97.283988556310604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</row>
    <row r="12" spans="1:78" s="157" customFormat="1" ht="18" customHeight="1" x14ac:dyDescent="0.2">
      <c r="A12" s="593" t="s">
        <v>212</v>
      </c>
      <c r="B12" s="1138"/>
      <c r="C12" s="1138"/>
      <c r="D12" s="1139"/>
      <c r="E12" s="1139"/>
      <c r="F12" s="1139"/>
      <c r="G12" s="1139"/>
      <c r="H12" s="1139"/>
      <c r="I12" s="1139"/>
      <c r="J12" s="1139"/>
      <c r="K12" s="1139"/>
      <c r="L12" s="1139"/>
      <c r="M12" s="1140"/>
      <c r="N12" s="154"/>
      <c r="O12" s="154"/>
      <c r="P12" s="261"/>
      <c r="Q12" s="261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  <c r="BN12" s="154"/>
      <c r="BO12" s="154"/>
      <c r="BP12" s="154"/>
      <c r="BQ12" s="154"/>
      <c r="BR12" s="154"/>
      <c r="BS12" s="154"/>
      <c r="BT12" s="154"/>
      <c r="BU12" s="154"/>
      <c r="BV12" s="154"/>
      <c r="BW12" s="154"/>
      <c r="BX12" s="154"/>
      <c r="BY12" s="154"/>
      <c r="BZ12" s="154"/>
    </row>
    <row r="13" spans="1:78" s="125" customFormat="1" ht="17.25" customHeight="1" x14ac:dyDescent="0.2">
      <c r="A13" s="436" t="s">
        <v>282</v>
      </c>
      <c r="B13" s="250">
        <v>100</v>
      </c>
      <c r="C13" s="250">
        <v>99.052394118388506</v>
      </c>
      <c r="D13" s="74">
        <v>108.30985615133811</v>
      </c>
      <c r="E13" s="1040">
        <v>100.10102279647376</v>
      </c>
      <c r="F13" s="1040">
        <v>96.173181606476206</v>
      </c>
      <c r="G13" s="1101">
        <v>96.734517263684822</v>
      </c>
      <c r="H13" s="74">
        <v>103.8864051105954</v>
      </c>
      <c r="I13" s="74">
        <v>102.8908612409155</v>
      </c>
      <c r="J13" s="1040">
        <v>106.248556433139</v>
      </c>
      <c r="K13" s="1040">
        <v>100.02280150048435</v>
      </c>
      <c r="L13" s="1040">
        <v>95.034285110072872</v>
      </c>
      <c r="M13" s="1057">
        <v>88.760677477351081</v>
      </c>
      <c r="N13" s="16"/>
      <c r="O13" s="16"/>
      <c r="P13" s="261"/>
      <c r="Q13" s="261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</row>
    <row r="14" spans="1:78" s="125" customFormat="1" ht="17.25" customHeight="1" x14ac:dyDescent="0.2">
      <c r="A14" s="429" t="s">
        <v>283</v>
      </c>
      <c r="B14" s="230">
        <v>100</v>
      </c>
      <c r="C14" s="230">
        <v>101.44771542435704</v>
      </c>
      <c r="D14" s="69">
        <v>97.011016573387835</v>
      </c>
      <c r="E14" s="68">
        <v>103.02919964101362</v>
      </c>
      <c r="F14" s="68">
        <v>101.35581149515123</v>
      </c>
      <c r="G14" s="1104">
        <v>103.24954264734826</v>
      </c>
      <c r="H14" s="69">
        <v>97.458582061508864</v>
      </c>
      <c r="I14" s="69">
        <v>101.2595752182456</v>
      </c>
      <c r="J14" s="68">
        <v>98.926397161281443</v>
      </c>
      <c r="K14" s="68">
        <v>104.07376787300034</v>
      </c>
      <c r="L14" s="68">
        <v>98.051573728347364</v>
      </c>
      <c r="M14" s="641">
        <v>103.33520815932712</v>
      </c>
      <c r="N14" s="16"/>
      <c r="O14" s="16"/>
      <c r="P14" s="261"/>
      <c r="Q14" s="261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</row>
    <row r="15" spans="1:78" s="235" customFormat="1" ht="17.25" customHeight="1" x14ac:dyDescent="0.2">
      <c r="A15" s="1175" t="s">
        <v>332</v>
      </c>
      <c r="B15" s="233">
        <f>65+6.34564588771548</f>
        <v>71.345645887715477</v>
      </c>
      <c r="C15" s="233">
        <f>65+6.54519792927266</f>
        <v>71.545197929272661</v>
      </c>
      <c r="D15" s="1030">
        <f>65+6.76170256336441</f>
        <v>71.761702563364409</v>
      </c>
      <c r="E15" s="359">
        <f>65+5.29406915244383</f>
        <v>70.294069152443825</v>
      </c>
      <c r="F15" s="1030">
        <f>65+5.42783159783393</f>
        <v>70.427831597833929</v>
      </c>
      <c r="G15" s="1030">
        <f>65+5.99608815020044</f>
        <v>70.996088150200436</v>
      </c>
      <c r="H15" s="359">
        <f>65+6.93139581110738</f>
        <v>71.931395811107379</v>
      </c>
      <c r="I15" s="359">
        <f>65+6.39721961504186</f>
        <v>71.397219615041863</v>
      </c>
      <c r="J15" s="1031">
        <f>65+7.87747167136894</f>
        <v>72.877471671368937</v>
      </c>
      <c r="K15" s="1031">
        <f>65+6.84806915244381</f>
        <v>71.848069152443813</v>
      </c>
      <c r="L15" s="1031">
        <f>65+7.82765785134498</f>
        <v>72.827657851344981</v>
      </c>
      <c r="M15" s="1124">
        <f>65+7.25668975603055</f>
        <v>72.256689756030553</v>
      </c>
      <c r="N15" s="234"/>
      <c r="O15" s="16"/>
      <c r="P15" s="263"/>
      <c r="Q15" s="346"/>
      <c r="R15" s="234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4"/>
      <c r="AJ15" s="234"/>
      <c r="AK15" s="234"/>
      <c r="AL15" s="234"/>
      <c r="AM15" s="234"/>
      <c r="AN15" s="234"/>
      <c r="AO15" s="234"/>
      <c r="AP15" s="234"/>
      <c r="AQ15" s="234"/>
      <c r="AR15" s="234"/>
      <c r="AS15" s="234"/>
      <c r="AT15" s="234"/>
      <c r="AU15" s="234"/>
      <c r="AV15" s="234"/>
      <c r="AW15" s="234"/>
      <c r="AX15" s="234"/>
      <c r="AY15" s="234"/>
      <c r="AZ15" s="234"/>
      <c r="BA15" s="234"/>
      <c r="BB15" s="234"/>
      <c r="BC15" s="234"/>
      <c r="BD15" s="234"/>
      <c r="BE15" s="234"/>
      <c r="BF15" s="234"/>
      <c r="BG15" s="234"/>
      <c r="BH15" s="234"/>
      <c r="BI15" s="234"/>
      <c r="BJ15" s="234"/>
      <c r="BK15" s="234"/>
      <c r="BL15" s="234"/>
      <c r="BM15" s="234"/>
    </row>
    <row r="16" spans="1:78" s="125" customFormat="1" ht="17.25" customHeight="1" x14ac:dyDescent="0.2">
      <c r="A16" s="236" t="s">
        <v>284</v>
      </c>
      <c r="B16" s="230">
        <v>100</v>
      </c>
      <c r="C16" s="230">
        <v>100.00009315126862</v>
      </c>
      <c r="D16" s="69">
        <v>106.91854467454455</v>
      </c>
      <c r="E16" s="137">
        <v>95.799033755126231</v>
      </c>
      <c r="F16" s="69">
        <v>97.274188406608516</v>
      </c>
      <c r="G16" s="69">
        <v>105.23616996160764</v>
      </c>
      <c r="H16" s="137">
        <v>107.240578383496</v>
      </c>
      <c r="I16" s="137">
        <v>97.417992942170812</v>
      </c>
      <c r="J16" s="68">
        <v>99.770692669077278</v>
      </c>
      <c r="K16" s="68">
        <v>99.797191591820322</v>
      </c>
      <c r="L16" s="68">
        <v>102.12328252337166</v>
      </c>
      <c r="M16" s="1056">
        <v>104.09581199146535</v>
      </c>
      <c r="N16" s="16"/>
      <c r="O16" s="16"/>
      <c r="P16" s="16"/>
      <c r="Q16" s="202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</row>
    <row r="17" spans="1:65" s="235" customFormat="1" ht="17.25" customHeight="1" x14ac:dyDescent="0.2">
      <c r="A17" s="1176" t="s">
        <v>349</v>
      </c>
      <c r="B17" s="233">
        <f>65+-0.0217753235281037</f>
        <v>64.978224676471896</v>
      </c>
      <c r="C17" s="233">
        <f>65+0.305261331270628</f>
        <v>65.305261331270628</v>
      </c>
      <c r="D17" s="1030">
        <f>65+-0.525402399624355</f>
        <v>64.474597600375645</v>
      </c>
      <c r="E17" s="359">
        <f>65+-0.070895464638113</f>
        <v>64.929104535361887</v>
      </c>
      <c r="F17" s="1030">
        <f>65+0.456125670380061</f>
        <v>65.456125670380061</v>
      </c>
      <c r="G17" s="1030">
        <f>65+-0.781437582753355</f>
        <v>64.218562417246645</v>
      </c>
      <c r="H17" s="359">
        <f>65+-0.333911955341165</f>
        <v>64.666088044658835</v>
      </c>
      <c r="I17" s="359">
        <f>65+0.191731611053896</f>
        <v>65.191731611053896</v>
      </c>
      <c r="J17" s="1031">
        <f>65+0.480684136282719</f>
        <v>65.480684136282719</v>
      </c>
      <c r="K17" s="1031">
        <f>65+0.797275123931513</f>
        <v>65.797275123931513</v>
      </c>
      <c r="L17" s="1031">
        <f>65+0.949816104421032</f>
        <v>65.949816104421032</v>
      </c>
      <c r="M17" s="1124">
        <f>65+-0.43363290259316</f>
        <v>64.56636709740684</v>
      </c>
      <c r="N17" s="234"/>
      <c r="O17" s="16"/>
      <c r="P17" s="717"/>
      <c r="Q17" s="346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4"/>
      <c r="AJ17" s="234"/>
      <c r="AK17" s="234"/>
      <c r="AL17" s="234"/>
      <c r="AM17" s="234"/>
      <c r="AN17" s="234"/>
      <c r="AO17" s="234"/>
      <c r="AP17" s="234"/>
      <c r="AQ17" s="234"/>
      <c r="AR17" s="234"/>
      <c r="AS17" s="234"/>
      <c r="AT17" s="234"/>
      <c r="AU17" s="234"/>
      <c r="AV17" s="234"/>
      <c r="AW17" s="234"/>
      <c r="AX17" s="234"/>
      <c r="AY17" s="234"/>
      <c r="AZ17" s="234"/>
      <c r="BA17" s="234"/>
      <c r="BB17" s="234"/>
      <c r="BC17" s="234"/>
      <c r="BD17" s="234"/>
      <c r="BE17" s="234"/>
      <c r="BF17" s="234"/>
      <c r="BG17" s="234"/>
      <c r="BH17" s="234"/>
      <c r="BI17" s="234"/>
      <c r="BJ17" s="234"/>
      <c r="BK17" s="234"/>
      <c r="BL17" s="234"/>
      <c r="BM17" s="234"/>
    </row>
    <row r="18" spans="1:65" s="125" customFormat="1" ht="17.25" customHeight="1" x14ac:dyDescent="0.2">
      <c r="A18" s="251" t="s">
        <v>285</v>
      </c>
      <c r="B18" s="252">
        <v>100</v>
      </c>
      <c r="C18" s="252">
        <v>98.335269277238595</v>
      </c>
      <c r="D18" s="1045">
        <v>103.60251046693668</v>
      </c>
      <c r="E18" s="1153">
        <v>97.6791594908169</v>
      </c>
      <c r="F18" s="1045">
        <v>93.110525570156156</v>
      </c>
      <c r="G18" s="1045">
        <v>98.365400171152004</v>
      </c>
      <c r="H18" s="1153">
        <v>106.84301788079937</v>
      </c>
      <c r="I18" s="1153">
        <v>102.5725447843255</v>
      </c>
      <c r="J18" s="1114">
        <v>101.16107191152226</v>
      </c>
      <c r="K18" s="1114">
        <v>96.869553490984302</v>
      </c>
      <c r="L18" s="1114">
        <v>102.82590502879995</v>
      </c>
      <c r="M18" s="1158">
        <v>103.04161130002068</v>
      </c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</row>
    <row r="19" spans="1:65" s="121" customFormat="1" ht="18" customHeight="1" x14ac:dyDescent="0.2">
      <c r="A19" s="212" t="s">
        <v>13</v>
      </c>
      <c r="B19" s="1141"/>
      <c r="C19" s="1141"/>
      <c r="D19" s="1131"/>
      <c r="E19" s="1131"/>
      <c r="F19" s="1131"/>
      <c r="G19" s="1131"/>
      <c r="H19" s="1131"/>
      <c r="I19" s="1131"/>
      <c r="J19" s="1131"/>
      <c r="K19" s="1131"/>
      <c r="L19" s="1131"/>
      <c r="M19" s="1132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</row>
    <row r="20" spans="1:65" s="123" customFormat="1" ht="17.25" customHeight="1" x14ac:dyDescent="0.2">
      <c r="A20" s="208" t="s">
        <v>91</v>
      </c>
      <c r="B20" s="232">
        <v>57.129549166792032</v>
      </c>
      <c r="C20" s="232">
        <v>55.481689196471265</v>
      </c>
      <c r="D20" s="1118">
        <v>53.142587780354226</v>
      </c>
      <c r="E20" s="1049">
        <v>56.078406853115034</v>
      </c>
      <c r="F20" s="1119">
        <v>55.777488229794841</v>
      </c>
      <c r="G20" s="1049">
        <v>55.209167142766269</v>
      </c>
      <c r="H20" s="1049">
        <v>57.033862690471452</v>
      </c>
      <c r="I20" s="1049">
        <v>59.161740301612333</v>
      </c>
      <c r="J20" s="1118">
        <v>56.99180059639464</v>
      </c>
      <c r="K20" s="1118">
        <v>56.626806853115021</v>
      </c>
      <c r="L20" s="1118">
        <v>52.206465503641788</v>
      </c>
      <c r="M20" s="1121">
        <v>55.969081250751088</v>
      </c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</row>
    <row r="21" spans="1:65" s="125" customFormat="1" ht="17.25" customHeight="1" x14ac:dyDescent="0.2">
      <c r="A21" s="259" t="s">
        <v>89</v>
      </c>
      <c r="B21" s="138">
        <v>51.739951820000002</v>
      </c>
      <c r="C21" s="138">
        <v>50.357160929999999</v>
      </c>
      <c r="D21" s="140">
        <v>42.047204999999998</v>
      </c>
      <c r="E21" s="139">
        <v>52.266846000000001</v>
      </c>
      <c r="F21" s="1107">
        <v>52.159947000000003</v>
      </c>
      <c r="G21" s="139">
        <v>47.983277999999999</v>
      </c>
      <c r="H21" s="139">
        <v>43.785606999999999</v>
      </c>
      <c r="I21" s="139">
        <v>46.171495</v>
      </c>
      <c r="J21" s="140">
        <v>50.991104999999997</v>
      </c>
      <c r="K21" s="140">
        <v>50.665146</v>
      </c>
      <c r="L21" s="140">
        <v>48.076644000000002</v>
      </c>
      <c r="M21" s="726">
        <v>45.552466000000003</v>
      </c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</row>
    <row r="22" spans="1:65" s="123" customFormat="1" ht="17.25" customHeight="1" x14ac:dyDescent="0.2">
      <c r="A22" s="594" t="s">
        <v>90</v>
      </c>
      <c r="B22" s="233">
        <v>3.7987092639302413</v>
      </c>
      <c r="C22" s="233">
        <v>3.6932799267000003</v>
      </c>
      <c r="D22" s="1031">
        <v>3.0725262134999998</v>
      </c>
      <c r="E22" s="1030">
        <v>3.8359333962000002</v>
      </c>
      <c r="F22" s="1111">
        <v>3.8279480409000004</v>
      </c>
      <c r="G22" s="1030">
        <v>3.5159508665999999</v>
      </c>
      <c r="H22" s="1030">
        <v>3.2023848428999999</v>
      </c>
      <c r="I22" s="1030">
        <v>3.3806106764999999</v>
      </c>
      <c r="J22" s="1031">
        <v>3.7406355434999998</v>
      </c>
      <c r="K22" s="1031">
        <v>3.7162864062000001</v>
      </c>
      <c r="L22" s="1031">
        <v>3.5229253068000004</v>
      </c>
      <c r="M22" s="1112">
        <v>3.3343692102000002</v>
      </c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</row>
    <row r="23" spans="1:65" s="260" customFormat="1" ht="17.25" customHeight="1" x14ac:dyDescent="0.2">
      <c r="A23" s="256" t="s">
        <v>213</v>
      </c>
      <c r="B23" s="240">
        <v>7.2676106315334623</v>
      </c>
      <c r="C23" s="240">
        <v>7.3123023144789832</v>
      </c>
      <c r="D23" s="652" t="s">
        <v>279</v>
      </c>
      <c r="E23" s="708">
        <v>7.1886015606602145</v>
      </c>
      <c r="F23" s="709">
        <v>7.5615261916272951</v>
      </c>
      <c r="G23" s="716">
        <v>7.3413949673599177</v>
      </c>
      <c r="H23" s="708" t="s">
        <v>195</v>
      </c>
      <c r="I23" s="708" t="s">
        <v>277</v>
      </c>
      <c r="J23" s="652">
        <v>7.4493205680630332</v>
      </c>
      <c r="K23" s="647">
        <v>7.3474354320738549</v>
      </c>
      <c r="L23" s="647">
        <v>6.9855351670895818</v>
      </c>
      <c r="M23" s="1159">
        <v>7.2638861607791041</v>
      </c>
      <c r="N23" s="16"/>
      <c r="O23" s="195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</row>
    <row r="24" spans="1:65" s="121" customFormat="1" ht="18" customHeight="1" x14ac:dyDescent="0.2">
      <c r="A24" s="213" t="s">
        <v>14</v>
      </c>
      <c r="B24" s="1143"/>
      <c r="C24" s="1143"/>
      <c r="D24" s="1144"/>
      <c r="E24" s="1144"/>
      <c r="F24" s="1139"/>
      <c r="G24" s="1144"/>
      <c r="H24" s="1144"/>
      <c r="I24" s="1144"/>
      <c r="J24" s="1144"/>
      <c r="K24" s="1144"/>
      <c r="L24" s="1144"/>
      <c r="M24" s="1145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</row>
    <row r="25" spans="1:65" s="125" customFormat="1" ht="15.75" customHeight="1" x14ac:dyDescent="0.2">
      <c r="A25" s="244" t="s">
        <v>217</v>
      </c>
      <c r="B25" s="204">
        <v>4.786363636363637</v>
      </c>
      <c r="C25" s="204">
        <v>5.166666666666667</v>
      </c>
      <c r="D25" s="692" t="s">
        <v>5</v>
      </c>
      <c r="E25" s="695">
        <v>4.4000000000000004</v>
      </c>
      <c r="F25" s="710">
        <v>5.95</v>
      </c>
      <c r="G25" s="693">
        <v>5.2</v>
      </c>
      <c r="H25" s="694" t="s">
        <v>5</v>
      </c>
      <c r="I25" s="694" t="s">
        <v>5</v>
      </c>
      <c r="J25" s="692" t="s">
        <v>100</v>
      </c>
      <c r="K25" s="662">
        <v>4.05</v>
      </c>
      <c r="L25" s="662" t="s">
        <v>93</v>
      </c>
      <c r="M25" s="1160" t="s">
        <v>5</v>
      </c>
      <c r="N25" s="16"/>
      <c r="O25" s="261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</row>
    <row r="26" spans="1:65" s="125" customFormat="1" ht="15.75" customHeight="1" x14ac:dyDescent="0.2">
      <c r="A26" s="244" t="s">
        <v>216</v>
      </c>
      <c r="B26" s="204">
        <v>6.7081971534962213</v>
      </c>
      <c r="C26" s="204">
        <v>6.6021709110001012</v>
      </c>
      <c r="D26" s="692" t="s">
        <v>5</v>
      </c>
      <c r="E26" s="694">
        <v>6.3869272811893536</v>
      </c>
      <c r="F26" s="710">
        <v>6.764294557732824</v>
      </c>
      <c r="G26" s="661">
        <v>6.7313720507541754</v>
      </c>
      <c r="H26" s="694">
        <v>7.2623747716045699</v>
      </c>
      <c r="I26" s="694">
        <v>6.9437512494836415</v>
      </c>
      <c r="J26" s="662">
        <v>6.4931495432091406</v>
      </c>
      <c r="K26" s="662">
        <v>6.1699568881227522</v>
      </c>
      <c r="L26" s="662">
        <v>7.0673251449923615</v>
      </c>
      <c r="M26" s="1161">
        <v>6.5491120452428619</v>
      </c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</row>
    <row r="27" spans="1:65" s="16" customFormat="1" ht="15.75" customHeight="1" x14ac:dyDescent="0.2">
      <c r="A27" s="246" t="s">
        <v>218</v>
      </c>
      <c r="B27" s="206">
        <v>6.418114040910976</v>
      </c>
      <c r="C27" s="204">
        <v>6.7243687461673725</v>
      </c>
      <c r="D27" s="668" t="s">
        <v>225</v>
      </c>
      <c r="E27" s="671">
        <v>7.1375843776552479</v>
      </c>
      <c r="F27" s="711">
        <v>6.4457998361488693</v>
      </c>
      <c r="G27" s="665">
        <v>6.9404539690763842</v>
      </c>
      <c r="H27" s="671">
        <v>5.8750733459575875</v>
      </c>
      <c r="I27" s="671">
        <v>6.65159000280598</v>
      </c>
      <c r="J27" s="666">
        <v>7.0037689525372659</v>
      </c>
      <c r="K27" s="666">
        <v>6.1670153387804909</v>
      </c>
      <c r="L27" s="668">
        <v>6.65159000280598</v>
      </c>
      <c r="M27" s="1162">
        <v>5.3646684410392069</v>
      </c>
    </row>
    <row r="28" spans="1:65" s="125" customFormat="1" ht="15.75" customHeight="1" x14ac:dyDescent="0.2">
      <c r="A28" s="246" t="s">
        <v>214</v>
      </c>
      <c r="B28" s="205">
        <v>6.8090962907794541</v>
      </c>
      <c r="C28" s="204">
        <v>6.71908238798623</v>
      </c>
      <c r="D28" s="668">
        <v>7.6429111719839202</v>
      </c>
      <c r="E28" s="708">
        <v>7.6429111719839202</v>
      </c>
      <c r="F28" s="712">
        <v>7.4544102942807289</v>
      </c>
      <c r="G28" s="661">
        <v>5.6891660086305107</v>
      </c>
      <c r="H28" s="668">
        <v>7.7867938619196329</v>
      </c>
      <c r="I28" s="668">
        <v>7.2883376871846428</v>
      </c>
      <c r="J28" s="666">
        <v>7.4544102942807289</v>
      </c>
      <c r="K28" s="665">
        <v>7.6429111719839202</v>
      </c>
      <c r="L28" s="665">
        <v>4.4306853867575722</v>
      </c>
      <c r="M28" s="1162">
        <v>7.1381965738195614</v>
      </c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</row>
    <row r="29" spans="1:65" ht="9" customHeight="1" x14ac:dyDescent="0.2">
      <c r="A29" s="1164"/>
      <c r="B29" s="1165"/>
      <c r="C29" s="1166"/>
      <c r="D29" s="1167"/>
      <c r="E29" s="1167"/>
      <c r="F29" s="1167"/>
      <c r="G29" s="1167"/>
      <c r="H29" s="1167"/>
      <c r="I29" s="1167"/>
      <c r="J29" s="1167"/>
      <c r="K29" s="1167"/>
      <c r="L29" s="1167"/>
      <c r="M29" s="1168"/>
    </row>
    <row r="30" spans="1:65" s="121" customFormat="1" ht="17.25" customHeight="1" x14ac:dyDescent="0.2">
      <c r="A30" s="210" t="s">
        <v>7</v>
      </c>
      <c r="B30" s="1169"/>
      <c r="C30" s="744"/>
      <c r="D30" s="526">
        <v>2022</v>
      </c>
      <c r="E30" s="526">
        <v>2010</v>
      </c>
      <c r="F30" s="713">
        <v>2012</v>
      </c>
      <c r="G30" s="674">
        <v>2008</v>
      </c>
      <c r="H30" s="149">
        <v>2020</v>
      </c>
      <c r="I30" s="149">
        <v>2020</v>
      </c>
      <c r="J30" s="149">
        <v>2017</v>
      </c>
      <c r="K30" s="674">
        <v>2009</v>
      </c>
      <c r="L30" s="149">
        <v>2015</v>
      </c>
      <c r="M30" s="1058">
        <v>2018</v>
      </c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</row>
    <row r="31" spans="1:65" s="121" customFormat="1" ht="17.25" customHeight="1" x14ac:dyDescent="0.2">
      <c r="A31" s="1215" t="s">
        <v>354</v>
      </c>
      <c r="B31" s="1169"/>
      <c r="C31" s="744"/>
      <c r="D31" s="1227" t="s">
        <v>362</v>
      </c>
      <c r="E31" s="1222" t="s">
        <v>356</v>
      </c>
      <c r="F31" s="1222" t="s">
        <v>356</v>
      </c>
      <c r="G31" s="1223" t="s">
        <v>357</v>
      </c>
      <c r="H31" s="1223" t="s">
        <v>362</v>
      </c>
      <c r="I31" s="1222" t="s">
        <v>360</v>
      </c>
      <c r="J31" s="1222" t="s">
        <v>362</v>
      </c>
      <c r="K31" s="1222" t="s">
        <v>378</v>
      </c>
      <c r="L31" s="1222" t="s">
        <v>356</v>
      </c>
      <c r="M31" s="1223" t="s">
        <v>378</v>
      </c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</row>
    <row r="32" spans="1:65" s="121" customFormat="1" ht="17.25" customHeight="1" x14ac:dyDescent="0.2">
      <c r="A32" s="1215" t="s">
        <v>355</v>
      </c>
      <c r="B32" s="1169"/>
      <c r="C32" s="744"/>
      <c r="D32" s="1223" t="s">
        <v>383</v>
      </c>
      <c r="E32" s="1222" t="s">
        <v>359</v>
      </c>
      <c r="F32" s="1222" t="s">
        <v>366</v>
      </c>
      <c r="G32" s="1222" t="s">
        <v>359</v>
      </c>
      <c r="H32" s="1222" t="s">
        <v>359</v>
      </c>
      <c r="I32" s="1224" t="s">
        <v>360</v>
      </c>
      <c r="J32" s="1222" t="s">
        <v>366</v>
      </c>
      <c r="K32" s="1222" t="s">
        <v>367</v>
      </c>
      <c r="L32" s="1222" t="s">
        <v>359</v>
      </c>
      <c r="M32" s="1222" t="s">
        <v>367</v>
      </c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</row>
    <row r="33" spans="1:65" s="121" customFormat="1" ht="13.5" customHeight="1" x14ac:dyDescent="0.2">
      <c r="A33" s="215" t="s">
        <v>8</v>
      </c>
      <c r="B33" s="1170"/>
      <c r="C33" s="1087"/>
      <c r="D33" s="1136"/>
      <c r="E33" s="1136"/>
      <c r="F33" s="1136"/>
      <c r="G33" s="1136"/>
      <c r="H33" s="1136"/>
      <c r="I33" s="1136"/>
      <c r="J33" s="1136"/>
      <c r="K33" s="1136"/>
      <c r="L33" s="1136"/>
      <c r="M33" s="1137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</row>
    <row r="34" spans="1:65" s="16" customFormat="1" ht="17.25" customHeight="1" x14ac:dyDescent="0.2">
      <c r="A34" s="262" t="s">
        <v>28</v>
      </c>
      <c r="B34" s="1171"/>
      <c r="C34" s="1088"/>
      <c r="D34" s="714">
        <v>3</v>
      </c>
      <c r="E34" s="714">
        <v>14</v>
      </c>
      <c r="F34" s="715">
        <v>9</v>
      </c>
      <c r="G34" s="714">
        <v>11</v>
      </c>
      <c r="H34" s="714">
        <v>4</v>
      </c>
      <c r="I34" s="714">
        <v>4</v>
      </c>
      <c r="J34" s="714">
        <v>8</v>
      </c>
      <c r="K34" s="714">
        <v>13</v>
      </c>
      <c r="L34" s="714">
        <v>9</v>
      </c>
      <c r="M34" s="1163">
        <v>7</v>
      </c>
    </row>
    <row r="35" spans="1:65" s="125" customFormat="1" ht="17.25" customHeight="1" x14ac:dyDescent="0.2">
      <c r="A35" s="248" t="s">
        <v>25</v>
      </c>
      <c r="B35" s="1172"/>
      <c r="C35" s="1089"/>
      <c r="D35" s="682">
        <v>6</v>
      </c>
      <c r="E35" s="682">
        <v>10</v>
      </c>
      <c r="F35" s="681">
        <v>11</v>
      </c>
      <c r="G35" s="682">
        <v>18</v>
      </c>
      <c r="H35" s="682">
        <v>11</v>
      </c>
      <c r="I35" s="682">
        <v>11</v>
      </c>
      <c r="J35" s="682">
        <v>12</v>
      </c>
      <c r="K35" s="682">
        <v>10</v>
      </c>
      <c r="L35" s="682">
        <v>13</v>
      </c>
      <c r="M35" s="1099">
        <v>13</v>
      </c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</row>
    <row r="36" spans="1:65" s="125" customFormat="1" ht="17.25" customHeight="1" thickBot="1" x14ac:dyDescent="0.25">
      <c r="A36" s="249" t="s">
        <v>26</v>
      </c>
      <c r="B36" s="1173"/>
      <c r="C36" s="1090"/>
      <c r="D36" s="192">
        <v>6</v>
      </c>
      <c r="E36" s="192">
        <v>10</v>
      </c>
      <c r="F36" s="165">
        <v>11</v>
      </c>
      <c r="G36" s="192">
        <v>16</v>
      </c>
      <c r="H36" s="192">
        <v>9</v>
      </c>
      <c r="I36" s="192">
        <v>9</v>
      </c>
      <c r="J36" s="192">
        <v>12</v>
      </c>
      <c r="K36" s="192">
        <v>10</v>
      </c>
      <c r="L36" s="192">
        <v>13</v>
      </c>
      <c r="M36" s="1100">
        <v>13</v>
      </c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</row>
    <row r="37" spans="1:65" ht="12" customHeight="1" x14ac:dyDescent="0.2">
      <c r="A37" s="216"/>
      <c r="B37" s="218"/>
      <c r="C37" s="217"/>
      <c r="D37" s="217"/>
      <c r="E37" s="217"/>
      <c r="F37" s="217"/>
      <c r="G37" s="217"/>
      <c r="H37" s="217"/>
      <c r="I37" s="217"/>
      <c r="J37" s="217"/>
      <c r="K37" s="218"/>
      <c r="L37" s="217"/>
      <c r="M37" s="217"/>
    </row>
    <row r="38" spans="1:65" x14ac:dyDescent="0.2">
      <c r="A38" s="1"/>
      <c r="B38" s="57"/>
      <c r="K38" s="57"/>
    </row>
    <row r="39" spans="1:65" x14ac:dyDescent="0.2">
      <c r="A39" s="1"/>
      <c r="B39" s="57"/>
      <c r="K39" s="57"/>
    </row>
    <row r="40" spans="1:65" x14ac:dyDescent="0.2">
      <c r="A40" s="1"/>
    </row>
    <row r="41" spans="1:65" x14ac:dyDescent="0.2">
      <c r="A41" s="99"/>
      <c r="C41" s="57"/>
    </row>
  </sheetData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3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pageSetUpPr fitToPage="1"/>
  </sheetPr>
  <dimension ref="A1:AZ52"/>
  <sheetViews>
    <sheetView zoomScale="70" zoomScaleNormal="70" workbookViewId="0">
      <selection activeCell="T4" sqref="T4"/>
    </sheetView>
  </sheetViews>
  <sheetFormatPr defaultColWidth="9.140625" defaultRowHeight="12.75" x14ac:dyDescent="0.2"/>
  <cols>
    <col min="1" max="1" width="61.140625" customWidth="1"/>
    <col min="2" max="2" width="10.140625" style="59" customWidth="1"/>
    <col min="3" max="3" width="4.140625" style="59" hidden="1" customWidth="1"/>
    <col min="4" max="4" width="9.28515625" style="59" customWidth="1"/>
    <col min="5" max="5" width="8.5703125" style="59" customWidth="1"/>
    <col min="6" max="6" width="9" style="59" customWidth="1"/>
    <col min="7" max="7" width="10" style="59" customWidth="1"/>
    <col min="8" max="8" width="9.5703125" style="59" customWidth="1"/>
    <col min="9" max="22" width="9" style="59" customWidth="1"/>
  </cols>
  <sheetData>
    <row r="1" spans="1:52" s="38" customFormat="1" ht="18.75" customHeight="1" x14ac:dyDescent="0.25">
      <c r="A1" s="36" t="s">
        <v>350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63"/>
      <c r="V1" s="37"/>
    </row>
    <row r="2" spans="1:52" ht="9" customHeight="1" thickBot="1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</row>
    <row r="3" spans="1:52" ht="12.75" customHeight="1" x14ac:dyDescent="0.2">
      <c r="A3" s="220"/>
      <c r="B3" s="41"/>
      <c r="C3" s="41"/>
      <c r="D3" s="1236" t="s">
        <v>21</v>
      </c>
      <c r="E3" s="1237"/>
      <c r="F3" s="1237"/>
      <c r="G3" s="1237"/>
      <c r="H3" s="1233" t="s">
        <v>22</v>
      </c>
      <c r="I3" s="1234"/>
      <c r="J3" s="1234"/>
      <c r="K3" s="1234"/>
      <c r="L3" s="1234"/>
      <c r="M3" s="1234"/>
      <c r="N3" s="1234"/>
      <c r="O3" s="1234"/>
      <c r="P3" s="1234"/>
      <c r="Q3" s="1234"/>
      <c r="R3" s="1234"/>
      <c r="S3" s="1234"/>
      <c r="T3" s="1234"/>
      <c r="U3" s="1234"/>
      <c r="V3" s="1235"/>
    </row>
    <row r="4" spans="1:52" ht="76.5" customHeight="1" x14ac:dyDescent="0.2">
      <c r="A4" s="221"/>
      <c r="B4" s="51" t="s">
        <v>116</v>
      </c>
      <c r="C4" s="51" t="s">
        <v>77</v>
      </c>
      <c r="D4" s="67" t="s">
        <v>176</v>
      </c>
      <c r="E4" s="584" t="s">
        <v>139</v>
      </c>
      <c r="F4" s="1207" t="s">
        <v>140</v>
      </c>
      <c r="G4" s="607" t="s">
        <v>141</v>
      </c>
      <c r="H4" s="1208" t="s">
        <v>185</v>
      </c>
      <c r="I4" s="525" t="s">
        <v>193</v>
      </c>
      <c r="J4" s="584" t="s">
        <v>131</v>
      </c>
      <c r="K4" s="525" t="s">
        <v>132</v>
      </c>
      <c r="L4" s="584" t="s">
        <v>135</v>
      </c>
      <c r="M4" s="525" t="s">
        <v>134</v>
      </c>
      <c r="N4" s="525" t="s">
        <v>136</v>
      </c>
      <c r="O4" s="525" t="s">
        <v>133</v>
      </c>
      <c r="P4" s="525" t="s">
        <v>184</v>
      </c>
      <c r="Q4" s="525" t="s">
        <v>142</v>
      </c>
      <c r="R4" s="584" t="s">
        <v>231</v>
      </c>
      <c r="S4" s="525" t="s">
        <v>180</v>
      </c>
      <c r="T4" s="525" t="s">
        <v>137</v>
      </c>
      <c r="U4" s="1209" t="s">
        <v>143</v>
      </c>
      <c r="V4" s="1182" t="s">
        <v>138</v>
      </c>
    </row>
    <row r="5" spans="1:52" ht="25.5" customHeight="1" x14ac:dyDescent="0.2">
      <c r="A5" s="210" t="s">
        <v>24</v>
      </c>
      <c r="B5" s="1091"/>
      <c r="C5" s="1091"/>
      <c r="D5" s="1190"/>
      <c r="E5" s="548" t="s">
        <v>1</v>
      </c>
      <c r="F5" s="524" t="s">
        <v>4</v>
      </c>
      <c r="G5" s="608" t="s">
        <v>4</v>
      </c>
      <c r="H5" s="1210"/>
      <c r="I5" s="524" t="s">
        <v>3</v>
      </c>
      <c r="J5" s="548" t="s">
        <v>1</v>
      </c>
      <c r="K5" s="524" t="s">
        <v>1</v>
      </c>
      <c r="L5" s="548" t="s">
        <v>1</v>
      </c>
      <c r="M5" s="524" t="s">
        <v>1</v>
      </c>
      <c r="N5" s="524" t="s">
        <v>4</v>
      </c>
      <c r="O5" s="524" t="s">
        <v>2</v>
      </c>
      <c r="P5" s="524" t="s">
        <v>1</v>
      </c>
      <c r="Q5" s="524" t="s">
        <v>4</v>
      </c>
      <c r="R5" s="524" t="s">
        <v>2</v>
      </c>
      <c r="S5" s="524" t="s">
        <v>2</v>
      </c>
      <c r="T5" s="524" t="s">
        <v>1</v>
      </c>
      <c r="U5" s="548" t="s">
        <v>4</v>
      </c>
      <c r="V5" s="608" t="s">
        <v>3</v>
      </c>
    </row>
    <row r="6" spans="1:52" ht="19.5" customHeight="1" x14ac:dyDescent="0.2">
      <c r="A6" s="211" t="s">
        <v>9</v>
      </c>
      <c r="B6" s="1092"/>
      <c r="C6" s="1092"/>
      <c r="D6" s="1191"/>
      <c r="E6" s="50">
        <v>144.417</v>
      </c>
      <c r="F6" s="151">
        <v>147.50400000000002</v>
      </c>
      <c r="G6" s="410">
        <v>148.071</v>
      </c>
      <c r="H6" s="1191"/>
      <c r="I6" s="49">
        <v>138.50400000000002</v>
      </c>
      <c r="J6" s="50">
        <v>139.75400000000002</v>
      </c>
      <c r="K6" s="49">
        <v>142.20499999999998</v>
      </c>
      <c r="L6" s="49">
        <v>143.023</v>
      </c>
      <c r="M6" s="49">
        <v>143.291</v>
      </c>
      <c r="N6" s="49">
        <v>143.39499999999998</v>
      </c>
      <c r="O6" s="49">
        <v>143.452</v>
      </c>
      <c r="P6" s="49">
        <v>143.55500000000001</v>
      </c>
      <c r="Q6" s="49">
        <v>143.94999999999999</v>
      </c>
      <c r="R6" s="49">
        <v>144.38900000000001</v>
      </c>
      <c r="S6" s="49">
        <v>144.71800000000002</v>
      </c>
      <c r="T6" s="49">
        <v>145.11799999999999</v>
      </c>
      <c r="U6" s="49">
        <v>146.02699999999999</v>
      </c>
      <c r="V6" s="410">
        <v>148.52699999999999</v>
      </c>
    </row>
    <row r="7" spans="1:52" s="16" customFormat="1" ht="17.25" customHeight="1" x14ac:dyDescent="0.2">
      <c r="A7" s="156" t="s">
        <v>72</v>
      </c>
      <c r="B7" s="1141"/>
      <c r="C7" s="1141"/>
      <c r="D7" s="1192"/>
      <c r="E7" s="1131"/>
      <c r="F7" s="1131"/>
      <c r="G7" s="1132"/>
      <c r="H7" s="1192"/>
      <c r="I7" s="1131"/>
      <c r="J7" s="1131"/>
      <c r="K7" s="1131"/>
      <c r="L7" s="1131"/>
      <c r="M7" s="1131"/>
      <c r="N7" s="1131"/>
      <c r="O7" s="1131"/>
      <c r="P7" s="1131"/>
      <c r="Q7" s="1131"/>
      <c r="R7" s="1131"/>
      <c r="S7" s="1131"/>
      <c r="T7" s="1131"/>
      <c r="U7" s="1131"/>
      <c r="V7" s="1132"/>
    </row>
    <row r="8" spans="1:52" s="125" customFormat="1" ht="17.25" customHeight="1" x14ac:dyDescent="0.2">
      <c r="A8" s="430" t="s">
        <v>311</v>
      </c>
      <c r="B8" s="229">
        <v>100</v>
      </c>
      <c r="C8" s="229">
        <v>105.3008</v>
      </c>
      <c r="D8" s="638">
        <v>102.60294054811602</v>
      </c>
      <c r="E8" s="181">
        <v>102.68223603331529</v>
      </c>
      <c r="F8" s="182">
        <v>102.33572123725705</v>
      </c>
      <c r="G8" s="639">
        <v>102.7908643737757</v>
      </c>
      <c r="H8" s="638">
        <v>98.745510682356922</v>
      </c>
      <c r="I8" s="181">
        <v>101.05793736359017</v>
      </c>
      <c r="J8" s="181">
        <v>100.83259562782909</v>
      </c>
      <c r="K8" s="181">
        <v>100.0955016369241</v>
      </c>
      <c r="L8" s="181">
        <v>96.358380116962266</v>
      </c>
      <c r="M8" s="181">
        <v>95.738496708588627</v>
      </c>
      <c r="N8" s="181">
        <v>95.608124534742529</v>
      </c>
      <c r="O8" s="181">
        <v>95.858265863285965</v>
      </c>
      <c r="P8" s="181">
        <v>95.716631161699254</v>
      </c>
      <c r="Q8" s="181">
        <v>101.11005563706762</v>
      </c>
      <c r="R8" s="181">
        <v>102.47131804030168</v>
      </c>
      <c r="S8" s="181">
        <v>99.087831941296386</v>
      </c>
      <c r="T8" s="181">
        <v>97.695565347712204</v>
      </c>
      <c r="U8" s="137">
        <v>95.33868998613076</v>
      </c>
      <c r="V8" s="1056">
        <v>97.620377443825063</v>
      </c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</row>
    <row r="9" spans="1:52" s="125" customFormat="1" ht="17.25" customHeight="1" x14ac:dyDescent="0.2">
      <c r="A9" s="426" t="s">
        <v>310</v>
      </c>
      <c r="B9" s="230">
        <v>100</v>
      </c>
      <c r="C9" s="230">
        <v>94.820220000000006</v>
      </c>
      <c r="D9" s="640">
        <v>96.975887532470736</v>
      </c>
      <c r="E9" s="68">
        <v>98.810644737800416</v>
      </c>
      <c r="F9" s="70">
        <v>94.311614923844502</v>
      </c>
      <c r="G9" s="641">
        <v>97.805402935767347</v>
      </c>
      <c r="H9" s="640">
        <v>101.71943508458877</v>
      </c>
      <c r="I9" s="68">
        <v>106.8359188844487</v>
      </c>
      <c r="J9" s="68">
        <v>101.58979217987962</v>
      </c>
      <c r="K9" s="68">
        <v>102.12017707480234</v>
      </c>
      <c r="L9" s="68">
        <v>100.02582875527713</v>
      </c>
      <c r="M9" s="68">
        <v>101.43808553936383</v>
      </c>
      <c r="N9" s="68">
        <v>100.982097513921</v>
      </c>
      <c r="O9" s="68">
        <v>104.86720060939952</v>
      </c>
      <c r="P9" s="68">
        <v>101.03597842416745</v>
      </c>
      <c r="Q9" s="68">
        <v>100.43898842662331</v>
      </c>
      <c r="R9" s="68">
        <v>103.04478437822935</v>
      </c>
      <c r="S9" s="68">
        <v>104.83101799704087</v>
      </c>
      <c r="T9" s="68">
        <v>103.14194232839594</v>
      </c>
      <c r="U9" s="69">
        <v>102.35887733394406</v>
      </c>
      <c r="V9" s="1106">
        <v>107.59212527987727</v>
      </c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</row>
    <row r="10" spans="1:52" s="125" customFormat="1" ht="17.25" customHeight="1" x14ac:dyDescent="0.2">
      <c r="A10" s="426" t="s">
        <v>309</v>
      </c>
      <c r="B10" s="230">
        <v>100</v>
      </c>
      <c r="C10" s="230">
        <v>97.018649999999994</v>
      </c>
      <c r="D10" s="640">
        <v>93.596863288747997</v>
      </c>
      <c r="E10" s="68">
        <v>98.090345541331303</v>
      </c>
      <c r="F10" s="184">
        <v>93.255911892469555</v>
      </c>
      <c r="G10" s="641">
        <v>89.444332432443147</v>
      </c>
      <c r="H10" s="640">
        <v>102.1634356415498</v>
      </c>
      <c r="I10" s="69">
        <v>107.82184703142197</v>
      </c>
      <c r="J10" s="68">
        <v>98.34463034752082</v>
      </c>
      <c r="K10" s="69">
        <v>102.90301092720277</v>
      </c>
      <c r="L10" s="69">
        <v>101.70414833864143</v>
      </c>
      <c r="M10" s="69">
        <v>102.83857696280845</v>
      </c>
      <c r="N10" s="69">
        <v>100.90569366714857</v>
      </c>
      <c r="O10" s="69">
        <v>102.01611471595042</v>
      </c>
      <c r="P10" s="69">
        <v>102.11947132715009</v>
      </c>
      <c r="Q10" s="69">
        <v>102.53933763012463</v>
      </c>
      <c r="R10" s="69">
        <v>104.72377987146544</v>
      </c>
      <c r="S10" s="69">
        <v>104.97475789698562</v>
      </c>
      <c r="T10" s="69">
        <v>105.70195295283413</v>
      </c>
      <c r="U10" s="69">
        <v>105.55136943996011</v>
      </c>
      <c r="V10" s="641">
        <v>101.89121882467562</v>
      </c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</row>
    <row r="11" spans="1:52" s="125" customFormat="1" ht="17.25" customHeight="1" x14ac:dyDescent="0.2">
      <c r="A11" s="426" t="s">
        <v>317</v>
      </c>
      <c r="B11" s="230">
        <v>100</v>
      </c>
      <c r="C11" s="231">
        <v>99.042437631578935</v>
      </c>
      <c r="D11" s="642">
        <v>97.722353044896735</v>
      </c>
      <c r="E11" s="68">
        <v>99.951478499528875</v>
      </c>
      <c r="F11" s="70">
        <v>96.73094470715381</v>
      </c>
      <c r="G11" s="641">
        <v>96.484635928007492</v>
      </c>
      <c r="H11" s="642">
        <v>100.85561212250876</v>
      </c>
      <c r="I11" s="68">
        <v>104.82050472019728</v>
      </c>
      <c r="J11" s="68">
        <v>100.29173022652428</v>
      </c>
      <c r="K11" s="68">
        <v>101.55141625173133</v>
      </c>
      <c r="L11" s="68">
        <v>99.295889662626521</v>
      </c>
      <c r="M11" s="68">
        <v>99.930486652028506</v>
      </c>
      <c r="N11" s="68">
        <v>99.115579854931326</v>
      </c>
      <c r="O11" s="68">
        <v>100.39778531832476</v>
      </c>
      <c r="P11" s="68">
        <v>99.379814732923947</v>
      </c>
      <c r="Q11" s="68">
        <v>101.40074692155743</v>
      </c>
      <c r="R11" s="68">
        <v>103.41329409666548</v>
      </c>
      <c r="S11" s="68">
        <v>102.5768655447265</v>
      </c>
      <c r="T11" s="68">
        <v>102.28341234915291</v>
      </c>
      <c r="U11" s="68">
        <v>100.96538969580247</v>
      </c>
      <c r="V11" s="1106">
        <v>102.0577150903471</v>
      </c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</row>
    <row r="12" spans="1:52" s="125" customFormat="1" ht="33.6" customHeight="1" x14ac:dyDescent="0.2">
      <c r="A12" s="440" t="s">
        <v>230</v>
      </c>
      <c r="B12" s="138">
        <v>100</v>
      </c>
      <c r="C12" s="138">
        <v>98.840469999999996</v>
      </c>
      <c r="D12" s="643">
        <v>100.89089206643098</v>
      </c>
      <c r="E12" s="68">
        <v>100.14466183401355</v>
      </c>
      <c r="F12" s="70">
        <v>100.42123530469497</v>
      </c>
      <c r="G12" s="1211">
        <v>102.10677906058444</v>
      </c>
      <c r="H12" s="643">
        <v>99.85852571532287</v>
      </c>
      <c r="I12" s="140">
        <v>99.195908032375925</v>
      </c>
      <c r="J12" s="140">
        <v>102.96760051060622</v>
      </c>
      <c r="K12" s="140">
        <v>99.727346420976488</v>
      </c>
      <c r="L12" s="140">
        <v>98.199957422977008</v>
      </c>
      <c r="M12" s="140">
        <v>97.962667224830966</v>
      </c>
      <c r="N12" s="140">
        <v>100.61848368094898</v>
      </c>
      <c r="O12" s="140">
        <v>94.742281417062074</v>
      </c>
      <c r="P12" s="140">
        <v>97.304018341171187</v>
      </c>
      <c r="Q12" s="140">
        <v>100.77882814510117</v>
      </c>
      <c r="R12" s="140">
        <v>107.02435386151097</v>
      </c>
      <c r="S12" s="140">
        <v>98.193362474121898</v>
      </c>
      <c r="T12" s="140">
        <v>98.539198506731751</v>
      </c>
      <c r="U12" s="139">
        <v>98.120394212096087</v>
      </c>
      <c r="V12" s="726">
        <v>98.77376936452815</v>
      </c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</row>
    <row r="13" spans="1:52" s="125" customFormat="1" ht="17.25" customHeight="1" x14ac:dyDescent="0.2">
      <c r="A13" s="427" t="s">
        <v>312</v>
      </c>
      <c r="B13" s="230">
        <v>100</v>
      </c>
      <c r="C13" s="230">
        <v>96.313938050000004</v>
      </c>
      <c r="D13" s="640">
        <v>89.457219871708105</v>
      </c>
      <c r="E13" s="181">
        <v>95.101802418413072</v>
      </c>
      <c r="F13" s="1043">
        <v>90.309262397650812</v>
      </c>
      <c r="G13" s="639">
        <v>82.960594799060416</v>
      </c>
      <c r="H13" s="640">
        <v>103.64723379598402</v>
      </c>
      <c r="I13" s="68">
        <v>77.911818901595069</v>
      </c>
      <c r="J13" s="68">
        <v>92.358278627822713</v>
      </c>
      <c r="K13" s="68">
        <v>101.15348258497775</v>
      </c>
      <c r="L13" s="68">
        <v>104.82870069859878</v>
      </c>
      <c r="M13" s="68">
        <v>87.884355958876242</v>
      </c>
      <c r="N13" s="68">
        <v>88.340249674291925</v>
      </c>
      <c r="O13" s="68">
        <v>83.718528473705888</v>
      </c>
      <c r="P13" s="68">
        <v>98.944509062805821</v>
      </c>
      <c r="Q13" s="68">
        <v>93.640221952694972</v>
      </c>
      <c r="R13" s="68">
        <v>92.534894239473033</v>
      </c>
      <c r="S13" s="68">
        <v>86.547166953617264</v>
      </c>
      <c r="T13" s="68">
        <v>116.24847327253683</v>
      </c>
      <c r="U13" s="68">
        <v>101.00280022418295</v>
      </c>
      <c r="V13" s="1106">
        <v>89.944523904841347</v>
      </c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</row>
    <row r="14" spans="1:52" s="153" customFormat="1" ht="18" customHeight="1" x14ac:dyDescent="0.2">
      <c r="A14" s="215" t="s">
        <v>13</v>
      </c>
      <c r="B14" s="1141"/>
      <c r="C14" s="1141"/>
      <c r="D14" s="1192"/>
      <c r="E14" s="1131"/>
      <c r="F14" s="1131"/>
      <c r="G14" s="1131"/>
      <c r="H14" s="1192"/>
      <c r="I14" s="1131"/>
      <c r="J14" s="1131"/>
      <c r="K14" s="1131"/>
      <c r="L14" s="1131"/>
      <c r="M14" s="1131"/>
      <c r="N14" s="1131"/>
      <c r="O14" s="1131"/>
      <c r="P14" s="1131"/>
      <c r="Q14" s="1131"/>
      <c r="R14" s="1131"/>
      <c r="S14" s="1131"/>
      <c r="T14" s="1131"/>
      <c r="U14" s="1131"/>
      <c r="V14" s="1132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</row>
    <row r="15" spans="1:52" s="125" customFormat="1" ht="17.25" customHeight="1" x14ac:dyDescent="0.2">
      <c r="A15" s="237" t="s">
        <v>89</v>
      </c>
      <c r="B15" s="230">
        <v>60.264014079407048</v>
      </c>
      <c r="C15" s="230"/>
      <c r="D15" s="640">
        <v>57.740903797996467</v>
      </c>
      <c r="E15" s="68">
        <v>59.889328460186078</v>
      </c>
      <c r="F15" s="70">
        <v>53.964630362700014</v>
      </c>
      <c r="G15" s="641">
        <v>59.368752571103308</v>
      </c>
      <c r="H15" s="640">
        <v>61.93253141338905</v>
      </c>
      <c r="I15" s="68">
        <v>55.998122549441867</v>
      </c>
      <c r="J15" s="68">
        <v>62.171358032821686</v>
      </c>
      <c r="K15" s="68">
        <v>61.379030870154864</v>
      </c>
      <c r="L15" s="68">
        <v>63.140630362700023</v>
      </c>
      <c r="M15" s="68">
        <v>64.795059721581993</v>
      </c>
      <c r="N15" s="68">
        <v>68.427463696033342</v>
      </c>
      <c r="O15" s="68">
        <v>63.259348384012789</v>
      </c>
      <c r="P15" s="68">
        <v>63.404033228713736</v>
      </c>
      <c r="Q15" s="68">
        <v>56.996402143710398</v>
      </c>
      <c r="R15" s="68">
        <v>61.291510224650246</v>
      </c>
      <c r="S15" s="68">
        <v>66.599622549441889</v>
      </c>
      <c r="T15" s="68">
        <v>61.039106387879642</v>
      </c>
      <c r="U15" s="69">
        <v>58.422589850341481</v>
      </c>
      <c r="V15" s="1106">
        <v>57.453792828457239</v>
      </c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</row>
    <row r="16" spans="1:52" s="125" customFormat="1" ht="17.25" customHeight="1" x14ac:dyDescent="0.2">
      <c r="A16" s="237" t="s">
        <v>20</v>
      </c>
      <c r="B16" s="138">
        <v>54.273432204151867</v>
      </c>
      <c r="C16" s="138"/>
      <c r="D16" s="643">
        <v>46.733767984237858</v>
      </c>
      <c r="E16" s="140">
        <v>47.207306824590738</v>
      </c>
      <c r="F16" s="143">
        <v>47.627589014138465</v>
      </c>
      <c r="G16" s="645">
        <v>45.366408113984356</v>
      </c>
      <c r="H16" s="643">
        <v>57.701424346545494</v>
      </c>
      <c r="I16" s="140">
        <v>49.520042372045069</v>
      </c>
      <c r="J16" s="140">
        <v>57.471922459330798</v>
      </c>
      <c r="K16" s="140">
        <v>57.085822715506083</v>
      </c>
      <c r="L16" s="140">
        <v>59.063589014138451</v>
      </c>
      <c r="M16" s="140">
        <v>65.855484168070319</v>
      </c>
      <c r="N16" s="140">
        <v>61.783316286865727</v>
      </c>
      <c r="O16" s="140">
        <v>62.444112141769537</v>
      </c>
      <c r="P16" s="140">
        <v>59.596179753883291</v>
      </c>
      <c r="Q16" s="140">
        <v>50.270882961124933</v>
      </c>
      <c r="R16" s="140">
        <v>55.263548151715256</v>
      </c>
      <c r="S16" s="140">
        <v>64.187542372045058</v>
      </c>
      <c r="T16" s="140">
        <v>57.184363197206636</v>
      </c>
      <c r="U16" s="139">
        <v>55.304817501403626</v>
      </c>
      <c r="V16" s="726">
        <v>57.739637380354573</v>
      </c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</row>
    <row r="17" spans="1:52" s="123" customFormat="1" ht="17.25" customHeight="1" x14ac:dyDescent="0.2">
      <c r="A17" s="259" t="s">
        <v>90</v>
      </c>
      <c r="B17" s="240">
        <v>4.004648117833292</v>
      </c>
      <c r="C17" s="240"/>
      <c r="D17" s="646">
        <v>3.6064453161756416</v>
      </c>
      <c r="E17" s="647">
        <v>3.724474927490153</v>
      </c>
      <c r="F17" s="1177">
        <v>3.5026684250528195</v>
      </c>
      <c r="G17" s="1178">
        <v>3.5921925959839527</v>
      </c>
      <c r="H17" s="646">
        <v>4.2001863386141958</v>
      </c>
      <c r="I17" s="647">
        <v>3.6443047989536943</v>
      </c>
      <c r="J17" s="647">
        <v>4.1991125460677932</v>
      </c>
      <c r="K17" s="647">
        <v>4.1722634693390868</v>
      </c>
      <c r="L17" s="647">
        <v>4.2986015033136891</v>
      </c>
      <c r="M17" s="647">
        <v>4.6177953241775604</v>
      </c>
      <c r="N17" s="647">
        <v>4.6135866511397756</v>
      </c>
      <c r="O17" s="647">
        <v>4.4365317444572225</v>
      </c>
      <c r="P17" s="647">
        <v>4.3226082637247654</v>
      </c>
      <c r="Q17" s="647">
        <v>3.6997444647207391</v>
      </c>
      <c r="R17" s="647">
        <v>4.0725362650029817</v>
      </c>
      <c r="S17" s="647">
        <v>4.6247419989536942</v>
      </c>
      <c r="T17" s="647">
        <v>4.1307678357362132</v>
      </c>
      <c r="U17" s="648">
        <v>3.9676621879332625</v>
      </c>
      <c r="V17" s="1183">
        <v>4.0165363010694364</v>
      </c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</row>
    <row r="18" spans="1:52" s="127" customFormat="1" ht="17.25" customHeight="1" x14ac:dyDescent="0.2">
      <c r="A18" s="239" t="s">
        <v>213</v>
      </c>
      <c r="B18" s="240">
        <v>7.4143944170069691</v>
      </c>
      <c r="C18" s="240"/>
      <c r="D18" s="646">
        <v>7.5161570949582304</v>
      </c>
      <c r="E18" s="647">
        <v>7.6447169235270618</v>
      </c>
      <c r="F18" s="1177">
        <v>7.3010094804936356</v>
      </c>
      <c r="G18" s="1180">
        <v>7.6027448808539946</v>
      </c>
      <c r="H18" s="646">
        <v>7.3851600245052804</v>
      </c>
      <c r="I18" s="652" t="s">
        <v>195</v>
      </c>
      <c r="J18" s="647">
        <v>7.2437519795609555</v>
      </c>
      <c r="K18" s="647">
        <v>7.4385291552217359</v>
      </c>
      <c r="L18" s="647">
        <v>7.4171728934219283</v>
      </c>
      <c r="M18" s="652">
        <v>7.4294209975269876</v>
      </c>
      <c r="N18" s="647">
        <v>7.4083323899022417</v>
      </c>
      <c r="O18" s="647">
        <v>7.7211027477221092</v>
      </c>
      <c r="P18" s="647">
        <v>7.4350816457185687</v>
      </c>
      <c r="Q18" s="647">
        <v>7.4787602665974182</v>
      </c>
      <c r="R18" s="652" t="s">
        <v>195</v>
      </c>
      <c r="S18" s="652" t="s">
        <v>307</v>
      </c>
      <c r="T18" s="647">
        <v>7.4411860698165002</v>
      </c>
      <c r="U18" s="1181">
        <v>7.4294209975269876</v>
      </c>
      <c r="V18" s="1183">
        <v>7.4398527577552027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</row>
    <row r="19" spans="1:52" s="152" customFormat="1" ht="18" customHeight="1" x14ac:dyDescent="0.2">
      <c r="A19" s="593" t="s">
        <v>212</v>
      </c>
      <c r="B19" s="1141"/>
      <c r="C19" s="1141"/>
      <c r="D19" s="1192"/>
      <c r="E19" s="1131"/>
      <c r="F19" s="1131"/>
      <c r="G19" s="1131"/>
      <c r="H19" s="1192"/>
      <c r="I19" s="1131"/>
      <c r="J19" s="1131"/>
      <c r="K19" s="1131"/>
      <c r="L19" s="1131"/>
      <c r="M19" s="1131"/>
      <c r="N19" s="1131"/>
      <c r="O19" s="1131"/>
      <c r="P19" s="1131"/>
      <c r="Q19" s="1131"/>
      <c r="R19" s="1131"/>
      <c r="S19" s="1131"/>
      <c r="T19" s="1131"/>
      <c r="U19" s="1131"/>
      <c r="V19" s="1132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</row>
    <row r="20" spans="1:52" s="125" customFormat="1" ht="17.25" customHeight="1" x14ac:dyDescent="0.2">
      <c r="A20" s="428" t="s">
        <v>313</v>
      </c>
      <c r="B20" s="232">
        <v>100</v>
      </c>
      <c r="C20" s="232">
        <v>119.3365</v>
      </c>
      <c r="D20" s="649">
        <v>105.07806513643546</v>
      </c>
      <c r="E20" s="1118">
        <v>110.82984019647387</v>
      </c>
      <c r="F20" s="143">
        <v>104.2899029635369</v>
      </c>
      <c r="G20" s="650">
        <v>100.11445224929557</v>
      </c>
      <c r="H20" s="649">
        <v>96.220064209997304</v>
      </c>
      <c r="I20" s="1118">
        <v>87.532948927997936</v>
      </c>
      <c r="J20" s="1118">
        <v>95.100346594724328</v>
      </c>
      <c r="K20" s="1118">
        <v>106.14136310630983</v>
      </c>
      <c r="L20" s="1118">
        <v>90.453713664792019</v>
      </c>
      <c r="M20" s="1118">
        <v>79.278733517142641</v>
      </c>
      <c r="N20" s="1118">
        <v>77.25897222242574</v>
      </c>
      <c r="O20" s="1118">
        <v>100.41299745617196</v>
      </c>
      <c r="P20" s="1118">
        <v>90.644793866815846</v>
      </c>
      <c r="Q20" s="1118">
        <v>106.24776632633639</v>
      </c>
      <c r="R20" s="1118">
        <v>86.474280757696263</v>
      </c>
      <c r="S20" s="1118">
        <v>90.106046394839098</v>
      </c>
      <c r="T20" s="1118">
        <v>93.184833474162971</v>
      </c>
      <c r="U20" s="1120">
        <v>94.351069018120612</v>
      </c>
      <c r="V20" s="1121">
        <v>90.692691504961061</v>
      </c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</row>
    <row r="21" spans="1:52" s="125" customFormat="1" ht="17.25" customHeight="1" x14ac:dyDescent="0.2">
      <c r="A21" s="429" t="s">
        <v>314</v>
      </c>
      <c r="B21" s="230">
        <v>100</v>
      </c>
      <c r="C21" s="230">
        <v>92.282330000000002</v>
      </c>
      <c r="D21" s="640">
        <v>97.641848983101156</v>
      </c>
      <c r="E21" s="68">
        <v>97.643004742883861</v>
      </c>
      <c r="F21" s="70">
        <v>95.908557347538547</v>
      </c>
      <c r="G21" s="641">
        <v>99.373984858881016</v>
      </c>
      <c r="H21" s="640">
        <v>101.61210947739438</v>
      </c>
      <c r="I21" s="1179">
        <v>97.367727915587352</v>
      </c>
      <c r="J21" s="68">
        <v>100.13156927627188</v>
      </c>
      <c r="K21" s="68">
        <v>102.59049304546868</v>
      </c>
      <c r="L21" s="68">
        <v>102.38966462660454</v>
      </c>
      <c r="M21" s="68">
        <v>103.24881786354652</v>
      </c>
      <c r="N21" s="68">
        <v>108.76950460443511</v>
      </c>
      <c r="O21" s="68">
        <v>96.527673029164532</v>
      </c>
      <c r="P21" s="68">
        <v>102.02339398643092</v>
      </c>
      <c r="Q21" s="68">
        <v>95.579510766274723</v>
      </c>
      <c r="R21" s="68">
        <v>103.20286835667301</v>
      </c>
      <c r="S21" s="68">
        <v>99.365513906345967</v>
      </c>
      <c r="T21" s="68">
        <v>101.33671096123248</v>
      </c>
      <c r="U21" s="69">
        <v>100.05401690299911</v>
      </c>
      <c r="V21" s="1106">
        <v>97.899501135596552</v>
      </c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</row>
    <row r="22" spans="1:52" s="235" customFormat="1" ht="17.25" customHeight="1" x14ac:dyDescent="0.2">
      <c r="A22" s="1175" t="s">
        <v>351</v>
      </c>
      <c r="B22" s="233">
        <f>65+7.23187628727547</f>
        <v>72.231876287275469</v>
      </c>
      <c r="C22" s="233">
        <v>6.9647459999999999</v>
      </c>
      <c r="D22" s="651">
        <f>65+7.54877552265573</f>
        <v>72.548775522655731</v>
      </c>
      <c r="E22" s="1031">
        <f>65+6.8753212636917</f>
        <v>71.875321263691703</v>
      </c>
      <c r="F22" s="1034">
        <f>65+7.91047747857638</f>
        <v>72.910477478576382</v>
      </c>
      <c r="G22" s="185">
        <f>65+7.86052782569911</f>
        <v>72.860527825699108</v>
      </c>
      <c r="H22" s="651">
        <f>65+7.15136474534617</f>
        <v>72.151364745346172</v>
      </c>
      <c r="I22" s="1031">
        <f>65+6.24660905181246</f>
        <v>71.246609051812456</v>
      </c>
      <c r="J22" s="1031">
        <f>65+8.37973154190259</f>
        <v>73.379731541902586</v>
      </c>
      <c r="K22" s="1031">
        <f>65+6.79194112869995</f>
        <v>71.791941128699946</v>
      </c>
      <c r="L22" s="1031">
        <f>65+7.04714414524307</f>
        <v>72.047144145243067</v>
      </c>
      <c r="M22" s="1031">
        <f>65+6.97838622809682</f>
        <v>71.978386228096824</v>
      </c>
      <c r="N22" s="1031">
        <f>65+6.66381081190973</f>
        <v>71.663810811909727</v>
      </c>
      <c r="O22" s="1031">
        <f>65+7.38281801267946</f>
        <v>72.382818012679465</v>
      </c>
      <c r="P22" s="1031">
        <f>65+6.48762891104053</f>
        <v>71.487628911040531</v>
      </c>
      <c r="Q22" s="1031">
        <f>65+7.97474280804218</f>
        <v>72.97474280804218</v>
      </c>
      <c r="R22" s="1031">
        <f>65+9.77651932789949</f>
        <v>74.776519327899493</v>
      </c>
      <c r="S22" s="1031">
        <f>65+7.57406749608558</f>
        <v>72.574067496085576</v>
      </c>
      <c r="T22" s="1031">
        <f>65+6.38664216553904</f>
        <v>71.386642165539044</v>
      </c>
      <c r="U22" s="1030">
        <f>65+7.34219743114974</f>
        <v>72.342197431149742</v>
      </c>
      <c r="V22" s="1112">
        <f>65+8.52576225524652</f>
        <v>73.525762255246519</v>
      </c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4"/>
      <c r="AJ22" s="234"/>
      <c r="AK22" s="234"/>
      <c r="AL22" s="234"/>
      <c r="AM22" s="234"/>
      <c r="AN22" s="234"/>
      <c r="AO22" s="234"/>
      <c r="AP22" s="234"/>
      <c r="AQ22" s="234"/>
      <c r="AR22" s="234"/>
      <c r="AS22" s="234"/>
      <c r="AT22" s="234"/>
      <c r="AU22" s="234"/>
      <c r="AV22" s="234"/>
      <c r="AW22" s="234"/>
      <c r="AX22" s="234"/>
      <c r="AY22" s="234"/>
      <c r="AZ22" s="234"/>
    </row>
    <row r="23" spans="1:52" s="125" customFormat="1" ht="17.25" customHeight="1" x14ac:dyDescent="0.2">
      <c r="A23" s="429" t="s">
        <v>315</v>
      </c>
      <c r="B23" s="230">
        <v>100</v>
      </c>
      <c r="C23" s="230">
        <v>111.9648</v>
      </c>
      <c r="D23" s="640">
        <v>109.41350435169528</v>
      </c>
      <c r="E23" s="68">
        <v>110.12746548628398</v>
      </c>
      <c r="F23" s="70">
        <v>108.60541850080936</v>
      </c>
      <c r="G23" s="641">
        <v>109.5076290679925</v>
      </c>
      <c r="H23" s="640">
        <v>95.316779003226657</v>
      </c>
      <c r="I23" s="68">
        <v>104.47180109825086</v>
      </c>
      <c r="J23" s="68">
        <v>103.14427951288359</v>
      </c>
      <c r="K23" s="68">
        <v>94.317006016582027</v>
      </c>
      <c r="L23" s="68">
        <v>89.987153583955916</v>
      </c>
      <c r="M23" s="68">
        <v>85.312177627831517</v>
      </c>
      <c r="N23" s="68">
        <v>87.356334733948444</v>
      </c>
      <c r="O23" s="68">
        <v>91.048741844189522</v>
      </c>
      <c r="P23" s="68">
        <v>88.594315886333533</v>
      </c>
      <c r="Q23" s="68">
        <v>111.9057015836064</v>
      </c>
      <c r="R23" s="68">
        <v>104.32656021035388</v>
      </c>
      <c r="S23" s="68">
        <v>93.21164432464596</v>
      </c>
      <c r="T23" s="68">
        <v>93.818676899485098</v>
      </c>
      <c r="U23" s="69">
        <v>95.805367498519971</v>
      </c>
      <c r="V23" s="1106">
        <v>99.184402866619394</v>
      </c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</row>
    <row r="24" spans="1:52" s="235" customFormat="1" ht="17.25" customHeight="1" x14ac:dyDescent="0.2">
      <c r="A24" s="1176" t="s">
        <v>349</v>
      </c>
      <c r="B24" s="233">
        <f>65+3.14774572629716</f>
        <v>68.14774572629716</v>
      </c>
      <c r="C24" s="233">
        <v>4.1663209999999999</v>
      </c>
      <c r="D24" s="651">
        <f>65+0.640457461379086</f>
        <v>65.640457461379086</v>
      </c>
      <c r="E24" s="1031">
        <f>65+0.341546932725166</f>
        <v>65.341546932725166</v>
      </c>
      <c r="F24" s="1034">
        <f>65+1.35652984603387</f>
        <v>66.356529846033865</v>
      </c>
      <c r="G24" s="185">
        <f>65+0.223295605378226</f>
        <v>65.223295605378226</v>
      </c>
      <c r="H24" s="651">
        <f>65+4.29709939475597</f>
        <v>69.297099394755975</v>
      </c>
      <c r="I24" s="1031">
        <f>65+3.13085667121098</f>
        <v>68.130856671210978</v>
      </c>
      <c r="J24" s="1031">
        <f>65+4.87705671116265</f>
        <v>69.877056711162652</v>
      </c>
      <c r="K24" s="1031">
        <f>65+3.72016734140179</f>
        <v>68.72016734140179</v>
      </c>
      <c r="L24" s="1031">
        <f>65+4.37380257330656</f>
        <v>69.373802573306563</v>
      </c>
      <c r="M24" s="1031">
        <f>65+6.5277974672197</f>
        <v>71.527797467219699</v>
      </c>
      <c r="N24" s="1031">
        <f>65+4.37562075512477</f>
        <v>69.375620755124771</v>
      </c>
      <c r="O24" s="1031">
        <f>65+3.00011174431165</f>
        <v>68.000111744311653</v>
      </c>
      <c r="P24" s="1031">
        <f>65+4.70432031846532</f>
        <v>69.704320318465321</v>
      </c>
      <c r="Q24" s="1031">
        <f>65+0.972952357651593</f>
        <v>65.972952357651593</v>
      </c>
      <c r="R24" s="1031">
        <f>65+5.28043475211528</f>
        <v>70.280434752115283</v>
      </c>
      <c r="S24" s="1031">
        <f>65+4.66544093377433</f>
        <v>69.665440933774335</v>
      </c>
      <c r="T24" s="1031">
        <f>65+4.21737095315289</f>
        <v>69.217370953152894</v>
      </c>
      <c r="U24" s="1030">
        <f>65+2.0571139330015</f>
        <v>67.057113933001503</v>
      </c>
      <c r="V24" s="1112">
        <f>65+2.29882379718657</f>
        <v>67.298823797186571</v>
      </c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4"/>
      <c r="AJ24" s="234"/>
      <c r="AK24" s="234"/>
      <c r="AL24" s="234"/>
      <c r="AM24" s="234"/>
      <c r="AN24" s="234"/>
      <c r="AO24" s="234"/>
      <c r="AP24" s="234"/>
      <c r="AQ24" s="234"/>
      <c r="AR24" s="234"/>
      <c r="AS24" s="234"/>
      <c r="AT24" s="234"/>
      <c r="AU24" s="234"/>
      <c r="AV24" s="234"/>
      <c r="AW24" s="234"/>
      <c r="AX24" s="234"/>
      <c r="AY24" s="234"/>
      <c r="AZ24" s="234"/>
    </row>
    <row r="25" spans="1:52" s="125" customFormat="1" ht="17.25" customHeight="1" x14ac:dyDescent="0.2">
      <c r="A25" s="447" t="s">
        <v>316</v>
      </c>
      <c r="B25" s="138">
        <v>100</v>
      </c>
      <c r="C25" s="138">
        <v>110.9971</v>
      </c>
      <c r="D25" s="643">
        <v>102.80318950471489</v>
      </c>
      <c r="E25" s="140">
        <v>101.30740262017846</v>
      </c>
      <c r="F25" s="143">
        <v>104.68611850693875</v>
      </c>
      <c r="G25" s="644">
        <v>102.41604738702746</v>
      </c>
      <c r="H25" s="643">
        <v>98.501619718220695</v>
      </c>
      <c r="I25" s="140">
        <v>106.28267109678796</v>
      </c>
      <c r="J25" s="140">
        <v>101.76477528076686</v>
      </c>
      <c r="K25" s="140">
        <v>99.444052008092598</v>
      </c>
      <c r="L25" s="140">
        <v>95.462397195568798</v>
      </c>
      <c r="M25" s="140">
        <v>98.79623344685352</v>
      </c>
      <c r="N25" s="140">
        <v>91.48888974872753</v>
      </c>
      <c r="O25" s="140">
        <v>97.119463049821306</v>
      </c>
      <c r="P25" s="140">
        <v>94.701677313734166</v>
      </c>
      <c r="Q25" s="140">
        <v>98.685034932904045</v>
      </c>
      <c r="R25" s="140">
        <v>104.74634547380455</v>
      </c>
      <c r="S25" s="140">
        <v>105.04036288592916</v>
      </c>
      <c r="T25" s="140">
        <v>97.335254388454459</v>
      </c>
      <c r="U25" s="139">
        <v>90.188912632571885</v>
      </c>
      <c r="V25" s="726">
        <v>98.107257041777714</v>
      </c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</row>
    <row r="26" spans="1:52" s="155" customFormat="1" ht="18" customHeight="1" x14ac:dyDescent="0.2">
      <c r="A26" s="213" t="s">
        <v>14</v>
      </c>
      <c r="B26" s="1143"/>
      <c r="C26" s="1143"/>
      <c r="D26" s="1193"/>
      <c r="E26" s="1144"/>
      <c r="F26" s="1144"/>
      <c r="G26" s="1194"/>
      <c r="H26" s="1193"/>
      <c r="I26" s="1144"/>
      <c r="J26" s="1144"/>
      <c r="K26" s="1144"/>
      <c r="L26" s="1144"/>
      <c r="M26" s="1144"/>
      <c r="N26" s="1144"/>
      <c r="O26" s="1144"/>
      <c r="P26" s="1144"/>
      <c r="Q26" s="1144"/>
      <c r="R26" s="1144"/>
      <c r="S26" s="1144"/>
      <c r="T26" s="1144"/>
      <c r="U26" s="1144"/>
      <c r="V26" s="1145"/>
      <c r="W26" s="154"/>
      <c r="X26" s="154"/>
      <c r="Y26" s="154"/>
      <c r="Z26" s="154"/>
      <c r="AA26" s="154"/>
      <c r="AB26" s="154"/>
      <c r="AC26" s="154"/>
      <c r="AD26" s="154"/>
      <c r="AE26" s="154"/>
      <c r="AF26" s="154"/>
      <c r="AG26" s="154"/>
      <c r="AH26" s="154"/>
      <c r="AI26" s="154"/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</row>
    <row r="27" spans="1:52" s="243" customFormat="1" ht="17.25" customHeight="1" x14ac:dyDescent="0.2">
      <c r="A27" s="241" t="s">
        <v>217</v>
      </c>
      <c r="B27" s="242">
        <v>5.7583333333333329</v>
      </c>
      <c r="C27" s="242"/>
      <c r="D27" s="653">
        <v>4.7666666666666666</v>
      </c>
      <c r="E27" s="655">
        <v>3.85</v>
      </c>
      <c r="F27" s="656">
        <v>3.65</v>
      </c>
      <c r="G27" s="657" t="s">
        <v>107</v>
      </c>
      <c r="H27" s="653">
        <v>6.7624999999999993</v>
      </c>
      <c r="I27" s="658" t="s">
        <v>5</v>
      </c>
      <c r="J27" s="655">
        <v>5.7</v>
      </c>
      <c r="K27" s="654">
        <v>6.75</v>
      </c>
      <c r="L27" s="654">
        <v>6.75</v>
      </c>
      <c r="M27" s="654">
        <v>7.75</v>
      </c>
      <c r="N27" s="654">
        <v>6.7</v>
      </c>
      <c r="O27" s="658" t="s">
        <v>5</v>
      </c>
      <c r="P27" s="654">
        <v>7.55</v>
      </c>
      <c r="Q27" s="660">
        <v>6.6</v>
      </c>
      <c r="R27" s="658" t="s">
        <v>5</v>
      </c>
      <c r="S27" s="659" t="s">
        <v>5</v>
      </c>
      <c r="T27" s="660">
        <v>7.85</v>
      </c>
      <c r="U27" s="359">
        <v>7.1</v>
      </c>
      <c r="V27" s="1184" t="s">
        <v>5</v>
      </c>
      <c r="W27" s="112"/>
      <c r="X27" s="112"/>
      <c r="Y27" s="112"/>
      <c r="Z27" s="112"/>
      <c r="AA27" s="112"/>
      <c r="AB27" s="112"/>
      <c r="AC27" s="112"/>
      <c r="AD27" s="112"/>
      <c r="AE27" s="112"/>
      <c r="AF27" s="112"/>
      <c r="AG27" s="112"/>
      <c r="AH27" s="112"/>
      <c r="AI27" s="112"/>
      <c r="AJ27" s="112"/>
      <c r="AK27" s="112"/>
      <c r="AL27" s="112"/>
      <c r="AM27" s="112"/>
      <c r="AN27" s="112"/>
      <c r="AO27" s="112"/>
      <c r="AP27" s="112"/>
      <c r="AQ27" s="112"/>
      <c r="AR27" s="112"/>
      <c r="AS27" s="112"/>
      <c r="AT27" s="112"/>
      <c r="AU27" s="112"/>
      <c r="AV27" s="112"/>
      <c r="AW27" s="112"/>
      <c r="AX27" s="112"/>
      <c r="AY27" s="112"/>
      <c r="AZ27" s="112"/>
    </row>
    <row r="28" spans="1:52" s="243" customFormat="1" ht="17.25" customHeight="1" x14ac:dyDescent="0.2">
      <c r="A28" s="244" t="s">
        <v>216</v>
      </c>
      <c r="B28" s="242">
        <v>6.379083683493266</v>
      </c>
      <c r="C28" s="204"/>
      <c r="D28" s="651">
        <v>5.7386059406423326</v>
      </c>
      <c r="E28" s="662">
        <v>4.3865953766843759</v>
      </c>
      <c r="F28" s="663">
        <v>7.1379561261813551</v>
      </c>
      <c r="G28" s="664">
        <v>5.6912663190612687</v>
      </c>
      <c r="H28" s="651">
        <v>6.6874876495234652</v>
      </c>
      <c r="I28" s="661">
        <v>8.2119083696941644</v>
      </c>
      <c r="J28" s="662">
        <v>6.2657857010087259</v>
      </c>
      <c r="K28" s="661">
        <v>7.0068903983173145</v>
      </c>
      <c r="L28" s="661">
        <v>6.4060225883373807</v>
      </c>
      <c r="M28" s="661">
        <v>6.9446408329084175</v>
      </c>
      <c r="N28" s="661">
        <v>6.5546119273617807</v>
      </c>
      <c r="O28" s="661">
        <v>7.7045300820095486</v>
      </c>
      <c r="P28" s="661">
        <v>6.454551041135522</v>
      </c>
      <c r="Q28" s="655">
        <v>6.6591264318755599</v>
      </c>
      <c r="R28" s="661">
        <v>6.6591264318755599</v>
      </c>
      <c r="S28" s="655">
        <v>6.0473100000174957</v>
      </c>
      <c r="T28" s="655">
        <v>7.0712519104304423</v>
      </c>
      <c r="U28" s="661">
        <v>6.0473100000174957</v>
      </c>
      <c r="V28" s="664">
        <v>6.768748124401057</v>
      </c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2"/>
      <c r="AJ28" s="112"/>
      <c r="AK28" s="112"/>
      <c r="AL28" s="112"/>
      <c r="AM28" s="112"/>
      <c r="AN28" s="112"/>
      <c r="AO28" s="112"/>
      <c r="AP28" s="112"/>
      <c r="AQ28" s="112"/>
      <c r="AR28" s="112"/>
      <c r="AS28" s="112"/>
      <c r="AT28" s="112"/>
      <c r="AU28" s="112"/>
      <c r="AV28" s="112"/>
      <c r="AW28" s="112"/>
      <c r="AX28" s="112"/>
      <c r="AY28" s="112"/>
      <c r="AZ28" s="112"/>
    </row>
    <row r="29" spans="1:52" s="245" customFormat="1" ht="17.25" customHeight="1" x14ac:dyDescent="0.2">
      <c r="A29" s="214" t="s">
        <v>218</v>
      </c>
      <c r="B29" s="242">
        <v>5.5800232681785138</v>
      </c>
      <c r="C29" s="206"/>
      <c r="D29" s="651">
        <v>5.6730807773566445</v>
      </c>
      <c r="E29" s="666">
        <v>5.9397577472252552</v>
      </c>
      <c r="F29" s="667">
        <v>4.158599915307124</v>
      </c>
      <c r="G29" s="188">
        <v>6.9208846695375543</v>
      </c>
      <c r="H29" s="651">
        <v>5.8454454866346737</v>
      </c>
      <c r="I29" s="668" t="s">
        <v>308</v>
      </c>
      <c r="J29" s="666">
        <v>3.0267118746454704</v>
      </c>
      <c r="K29" s="666">
        <v>7.2105165116985983</v>
      </c>
      <c r="L29" s="666">
        <v>6.7929733820202225</v>
      </c>
      <c r="M29" s="668">
        <v>7.1329000000000002</v>
      </c>
      <c r="N29" s="666">
        <v>7.0590766171426464</v>
      </c>
      <c r="O29" s="668">
        <v>6.7322220155981309</v>
      </c>
      <c r="P29" s="666">
        <v>6.4535792671388474</v>
      </c>
      <c r="Q29" s="670">
        <v>7.1329000000000002</v>
      </c>
      <c r="R29" s="668" t="s">
        <v>5</v>
      </c>
      <c r="S29" s="669" t="s">
        <v>107</v>
      </c>
      <c r="T29" s="670">
        <v>6.351580178174407</v>
      </c>
      <c r="U29" s="671">
        <v>7.1329000000000002</v>
      </c>
      <c r="V29" s="1185">
        <v>6.7929733820202225</v>
      </c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112"/>
      <c r="AM29" s="112"/>
      <c r="AN29" s="112"/>
      <c r="AO29" s="112"/>
      <c r="AP29" s="112"/>
      <c r="AQ29" s="112"/>
      <c r="AR29" s="112"/>
      <c r="AS29" s="112"/>
      <c r="AT29" s="112"/>
      <c r="AU29" s="112"/>
      <c r="AV29" s="112"/>
      <c r="AW29" s="112"/>
      <c r="AX29" s="112"/>
      <c r="AY29" s="112"/>
      <c r="AZ29" s="112"/>
    </row>
    <row r="30" spans="1:52" s="243" customFormat="1" ht="17.25" customHeight="1" x14ac:dyDescent="0.2">
      <c r="A30" s="246" t="s">
        <v>214</v>
      </c>
      <c r="B30" s="242">
        <v>5.8716852166480464</v>
      </c>
      <c r="C30" s="206"/>
      <c r="D30" s="646">
        <v>5.8309763552869187</v>
      </c>
      <c r="E30" s="647">
        <v>6.1848009759824745</v>
      </c>
      <c r="F30" s="672">
        <v>4.7183714171215829</v>
      </c>
      <c r="G30" s="673">
        <v>6.5897566727566987</v>
      </c>
      <c r="H30" s="646">
        <v>6.0817347266960553</v>
      </c>
      <c r="I30" s="647">
        <v>4.4852306650204481</v>
      </c>
      <c r="J30" s="666">
        <v>4.4852306650204481</v>
      </c>
      <c r="K30" s="666">
        <v>6.2873932659861715</v>
      </c>
      <c r="L30" s="666">
        <v>6.9645583030209028</v>
      </c>
      <c r="M30" s="666">
        <v>5.6296000647008615</v>
      </c>
      <c r="N30" s="647">
        <v>4.2319994590134886</v>
      </c>
      <c r="O30" s="647">
        <v>6.2614162947481109</v>
      </c>
      <c r="P30" s="647">
        <v>6.8979606945773391</v>
      </c>
      <c r="Q30" s="666">
        <v>5.9656230166757318</v>
      </c>
      <c r="R30" s="666">
        <v>3.8744251909708547</v>
      </c>
      <c r="S30" s="647">
        <v>6.8331887210473976</v>
      </c>
      <c r="T30" s="665">
        <v>6.5897566727566987</v>
      </c>
      <c r="U30" s="666">
        <v>7.2146417135801908</v>
      </c>
      <c r="V30" s="1183">
        <v>2.7049562481060754</v>
      </c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2"/>
      <c r="AJ30" s="112"/>
      <c r="AK30" s="112"/>
      <c r="AL30" s="112"/>
      <c r="AM30" s="112"/>
      <c r="AN30" s="112"/>
      <c r="AO30" s="112"/>
      <c r="AP30" s="112"/>
      <c r="AQ30" s="112"/>
      <c r="AR30" s="112"/>
      <c r="AS30" s="112"/>
      <c r="AT30" s="112"/>
      <c r="AU30" s="112"/>
      <c r="AV30" s="112"/>
      <c r="AW30" s="112"/>
      <c r="AX30" s="112"/>
      <c r="AY30" s="112"/>
      <c r="AZ30" s="112"/>
    </row>
    <row r="31" spans="1:52" s="46" customFormat="1" ht="10.5" customHeight="1" x14ac:dyDescent="0.2">
      <c r="A31" s="1195"/>
      <c r="B31" s="1196"/>
      <c r="C31" s="1196"/>
      <c r="D31" s="1197"/>
      <c r="E31" s="1198"/>
      <c r="F31" s="1198"/>
      <c r="G31" s="1199"/>
      <c r="H31" s="1197"/>
      <c r="I31" s="1198"/>
      <c r="J31" s="1198"/>
      <c r="K31" s="1198"/>
      <c r="L31" s="1198"/>
      <c r="M31" s="1198"/>
      <c r="N31" s="1198"/>
      <c r="O31" s="1198"/>
      <c r="P31" s="1198"/>
      <c r="Q31" s="1198"/>
      <c r="R31" s="1198"/>
      <c r="S31" s="1198"/>
      <c r="T31" s="1198"/>
      <c r="U31" s="1198"/>
      <c r="V31" s="1200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</row>
    <row r="32" spans="1:52" s="121" customFormat="1" ht="17.25" customHeight="1" x14ac:dyDescent="0.2">
      <c r="A32" s="210" t="s">
        <v>7</v>
      </c>
      <c r="B32" s="744"/>
      <c r="C32" s="744"/>
      <c r="D32" s="1202"/>
      <c r="E32" s="674">
        <v>2005</v>
      </c>
      <c r="F32" s="675">
        <v>1998</v>
      </c>
      <c r="G32" s="676">
        <v>2017</v>
      </c>
      <c r="H32" s="1202"/>
      <c r="I32" s="526">
        <v>2021</v>
      </c>
      <c r="J32" s="674">
        <v>2002</v>
      </c>
      <c r="K32" s="149">
        <v>2014</v>
      </c>
      <c r="L32" s="674">
        <v>2005</v>
      </c>
      <c r="M32" s="149">
        <v>2018</v>
      </c>
      <c r="N32" s="674">
        <v>2008</v>
      </c>
      <c r="O32" s="526">
        <v>2020</v>
      </c>
      <c r="P32" s="674">
        <v>2010</v>
      </c>
      <c r="Q32" s="149">
        <v>2011</v>
      </c>
      <c r="R32" s="526">
        <v>2022</v>
      </c>
      <c r="S32" s="526">
        <v>2021</v>
      </c>
      <c r="T32" s="149">
        <v>2012</v>
      </c>
      <c r="U32" s="72">
        <v>2018</v>
      </c>
      <c r="V32" s="1186">
        <v>2020</v>
      </c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</row>
    <row r="33" spans="1:52" s="121" customFormat="1" ht="17.25" customHeight="1" x14ac:dyDescent="0.2">
      <c r="A33" s="1215" t="s">
        <v>354</v>
      </c>
      <c r="B33" s="744"/>
      <c r="C33" s="744"/>
      <c r="D33" s="1202"/>
      <c r="E33" s="1225" t="s">
        <v>379</v>
      </c>
      <c r="F33" s="1222" t="s">
        <v>380</v>
      </c>
      <c r="G33" s="1222" t="s">
        <v>380</v>
      </c>
      <c r="H33" s="1202"/>
      <c r="I33" s="1222" t="s">
        <v>363</v>
      </c>
      <c r="J33" s="1222" t="s">
        <v>363</v>
      </c>
      <c r="K33" s="1223" t="s">
        <v>381</v>
      </c>
      <c r="L33" s="1222" t="s">
        <v>358</v>
      </c>
      <c r="M33" s="1223" t="s">
        <v>382</v>
      </c>
      <c r="N33" s="1222" t="s">
        <v>356</v>
      </c>
      <c r="O33" s="1222" t="s">
        <v>360</v>
      </c>
      <c r="P33" s="1222" t="s">
        <v>358</v>
      </c>
      <c r="Q33" s="1222" t="s">
        <v>363</v>
      </c>
      <c r="R33" s="1222" t="s">
        <v>363</v>
      </c>
      <c r="S33" s="1222" t="s">
        <v>358</v>
      </c>
      <c r="T33" s="1222" t="s">
        <v>358</v>
      </c>
      <c r="U33" s="1226" t="s">
        <v>356</v>
      </c>
      <c r="V33" s="1222" t="s">
        <v>363</v>
      </c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</row>
    <row r="34" spans="1:52" s="121" customFormat="1" ht="17.25" customHeight="1" x14ac:dyDescent="0.2">
      <c r="A34" s="1215" t="s">
        <v>355</v>
      </c>
      <c r="B34" s="744"/>
      <c r="C34" s="744"/>
      <c r="D34" s="1202"/>
      <c r="E34" s="1222" t="s">
        <v>368</v>
      </c>
      <c r="F34" s="1222" t="s">
        <v>367</v>
      </c>
      <c r="G34" s="1222" t="s">
        <v>367</v>
      </c>
      <c r="H34" s="1202"/>
      <c r="I34" s="1222" t="s">
        <v>368</v>
      </c>
      <c r="J34" s="1222" t="s">
        <v>368</v>
      </c>
      <c r="K34" s="1222" t="s">
        <v>360</v>
      </c>
      <c r="L34" s="1222" t="s">
        <v>366</v>
      </c>
      <c r="M34" s="1222" t="s">
        <v>367</v>
      </c>
      <c r="N34" s="1222" t="s">
        <v>359</v>
      </c>
      <c r="O34" s="1224" t="s">
        <v>360</v>
      </c>
      <c r="P34" s="1224" t="s">
        <v>367</v>
      </c>
      <c r="Q34" s="1222" t="s">
        <v>368</v>
      </c>
      <c r="R34" s="1222" t="s">
        <v>368</v>
      </c>
      <c r="S34" s="1224" t="s">
        <v>361</v>
      </c>
      <c r="T34" s="1222" t="s">
        <v>361</v>
      </c>
      <c r="U34" s="1226" t="s">
        <v>359</v>
      </c>
      <c r="V34" s="1222" t="s">
        <v>368</v>
      </c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</row>
    <row r="35" spans="1:52" s="121" customFormat="1" ht="15" customHeight="1" x14ac:dyDescent="0.2">
      <c r="A35" s="215" t="s">
        <v>8</v>
      </c>
      <c r="B35" s="1087"/>
      <c r="C35" s="1087"/>
      <c r="D35" s="1201"/>
      <c r="E35" s="1136"/>
      <c r="F35" s="1136"/>
      <c r="G35" s="1136"/>
      <c r="H35" s="1201"/>
      <c r="I35" s="1136"/>
      <c r="J35" s="1136"/>
      <c r="K35" s="1136"/>
      <c r="L35" s="1136"/>
      <c r="M35" s="1136"/>
      <c r="N35" s="1136"/>
      <c r="O35" s="1136"/>
      <c r="P35" s="1136"/>
      <c r="Q35" s="1136"/>
      <c r="R35" s="1136"/>
      <c r="S35" s="1136"/>
      <c r="T35" s="1136"/>
      <c r="U35" s="1136"/>
      <c r="V35" s="1137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</row>
    <row r="36" spans="1:52" s="152" customFormat="1" ht="17.25" customHeight="1" x14ac:dyDescent="0.2">
      <c r="A36" s="247" t="s">
        <v>28</v>
      </c>
      <c r="B36" s="1088"/>
      <c r="C36" s="1088"/>
      <c r="D36" s="1203"/>
      <c r="E36" s="678">
        <v>14</v>
      </c>
      <c r="F36" s="679">
        <v>6</v>
      </c>
      <c r="G36" s="680">
        <v>6</v>
      </c>
      <c r="H36" s="1203"/>
      <c r="I36" s="678">
        <v>4</v>
      </c>
      <c r="J36" s="678">
        <v>12</v>
      </c>
      <c r="K36" s="678">
        <v>6</v>
      </c>
      <c r="L36" s="678">
        <v>8</v>
      </c>
      <c r="M36" s="678">
        <v>4</v>
      </c>
      <c r="N36" s="678">
        <v>6</v>
      </c>
      <c r="O36" s="678">
        <v>4</v>
      </c>
      <c r="P36" s="678">
        <v>8</v>
      </c>
      <c r="Q36" s="678">
        <v>8</v>
      </c>
      <c r="R36" s="678">
        <v>4</v>
      </c>
      <c r="S36" s="678">
        <v>4</v>
      </c>
      <c r="T36" s="678">
        <v>7</v>
      </c>
      <c r="U36" s="677">
        <v>4</v>
      </c>
      <c r="V36" s="1098">
        <v>4</v>
      </c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</row>
    <row r="37" spans="1:52" s="125" customFormat="1" ht="17.25" customHeight="1" x14ac:dyDescent="0.2">
      <c r="A37" s="248" t="s">
        <v>25</v>
      </c>
      <c r="B37" s="1089"/>
      <c r="C37" s="1089"/>
      <c r="D37" s="1204"/>
      <c r="E37" s="682">
        <v>29</v>
      </c>
      <c r="F37" s="683">
        <v>12</v>
      </c>
      <c r="G37" s="684">
        <v>12</v>
      </c>
      <c r="H37" s="1204"/>
      <c r="I37" s="682">
        <v>8</v>
      </c>
      <c r="J37" s="682">
        <v>30</v>
      </c>
      <c r="K37" s="682">
        <v>17</v>
      </c>
      <c r="L37" s="682">
        <v>12</v>
      </c>
      <c r="M37" s="682">
        <v>13</v>
      </c>
      <c r="N37" s="682">
        <v>12</v>
      </c>
      <c r="O37" s="682">
        <v>11</v>
      </c>
      <c r="P37" s="682">
        <v>12</v>
      </c>
      <c r="Q37" s="682">
        <v>10</v>
      </c>
      <c r="R37" s="682">
        <v>6</v>
      </c>
      <c r="S37" s="682">
        <v>8</v>
      </c>
      <c r="T37" s="682">
        <v>11</v>
      </c>
      <c r="U37" s="681">
        <v>13</v>
      </c>
      <c r="V37" s="1099">
        <v>11</v>
      </c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</row>
    <row r="38" spans="1:52" s="125" customFormat="1" ht="17.25" customHeight="1" x14ac:dyDescent="0.2">
      <c r="A38" s="248" t="s">
        <v>26</v>
      </c>
      <c r="B38" s="1205"/>
      <c r="C38" s="1205"/>
      <c r="D38" s="1206"/>
      <c r="E38" s="686">
        <v>27</v>
      </c>
      <c r="F38" s="687">
        <v>12</v>
      </c>
      <c r="G38" s="194">
        <v>12</v>
      </c>
      <c r="H38" s="1206"/>
      <c r="I38" s="686">
        <v>6</v>
      </c>
      <c r="J38" s="686">
        <v>28</v>
      </c>
      <c r="K38" s="686">
        <v>15</v>
      </c>
      <c r="L38" s="686">
        <v>12</v>
      </c>
      <c r="M38" s="686">
        <v>13</v>
      </c>
      <c r="N38" s="686">
        <v>12</v>
      </c>
      <c r="O38" s="686">
        <v>9</v>
      </c>
      <c r="P38" s="686">
        <v>10</v>
      </c>
      <c r="Q38" s="686">
        <v>10</v>
      </c>
      <c r="R38" s="686">
        <v>6</v>
      </c>
      <c r="S38" s="686">
        <v>6</v>
      </c>
      <c r="T38" s="686">
        <v>11</v>
      </c>
      <c r="U38" s="685">
        <v>13</v>
      </c>
      <c r="V38" s="1187">
        <v>9</v>
      </c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</row>
    <row r="39" spans="1:52" s="125" customFormat="1" ht="17.25" customHeight="1" thickBot="1" x14ac:dyDescent="0.25">
      <c r="A39" s="249" t="s">
        <v>27</v>
      </c>
      <c r="B39" s="1090"/>
      <c r="C39" s="1090"/>
      <c r="D39" s="1204"/>
      <c r="E39" s="682">
        <v>26</v>
      </c>
      <c r="F39" s="683">
        <v>11</v>
      </c>
      <c r="G39" s="684">
        <v>13</v>
      </c>
      <c r="H39" s="1212"/>
      <c r="I39" s="1188">
        <v>6</v>
      </c>
      <c r="J39" s="1188">
        <v>27</v>
      </c>
      <c r="K39" s="1188">
        <v>12</v>
      </c>
      <c r="L39" s="1188">
        <v>11</v>
      </c>
      <c r="M39" s="1188">
        <v>12</v>
      </c>
      <c r="N39" s="1188">
        <v>11</v>
      </c>
      <c r="O39" s="1188">
        <v>6</v>
      </c>
      <c r="P39" s="1188">
        <v>10</v>
      </c>
      <c r="Q39" s="1188">
        <v>11</v>
      </c>
      <c r="R39" s="1188">
        <v>6</v>
      </c>
      <c r="S39" s="1188">
        <v>6</v>
      </c>
      <c r="T39" s="1188">
        <v>12</v>
      </c>
      <c r="U39" s="1189">
        <v>12</v>
      </c>
      <c r="V39" s="1100">
        <v>6</v>
      </c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</row>
    <row r="40" spans="1:52" x14ac:dyDescent="0.2">
      <c r="A40" s="216"/>
      <c r="B40" s="219"/>
      <c r="C40" s="219"/>
      <c r="D40" s="217"/>
      <c r="E40" s="217"/>
      <c r="F40" s="217"/>
      <c r="G40" s="217"/>
      <c r="H40" s="217"/>
      <c r="I40" s="217"/>
      <c r="J40" s="217"/>
      <c r="K40" s="217"/>
      <c r="L40" s="217"/>
      <c r="M40" s="217"/>
      <c r="N40" s="217"/>
      <c r="O40" s="217"/>
      <c r="P40" s="217"/>
      <c r="Q40" s="217"/>
      <c r="R40" s="217"/>
      <c r="S40" s="217"/>
      <c r="T40" s="217"/>
      <c r="U40" s="217"/>
      <c r="V40" s="217"/>
    </row>
    <row r="41" spans="1:52" ht="15.75" customHeight="1" x14ac:dyDescent="0.2">
      <c r="A41" s="1"/>
      <c r="B41" s="2"/>
      <c r="C41" s="2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</row>
    <row r="42" spans="1:52" ht="15.75" customHeight="1" x14ac:dyDescent="0.2">
      <c r="A42" s="1"/>
      <c r="B42" s="2"/>
      <c r="C42" s="2"/>
    </row>
    <row r="43" spans="1:52" ht="15.75" customHeight="1" x14ac:dyDescent="0.2">
      <c r="A43" s="1"/>
      <c r="B43" s="57"/>
      <c r="C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</row>
    <row r="44" spans="1:52" ht="15.75" customHeight="1" x14ac:dyDescent="0.2">
      <c r="A44" s="8"/>
      <c r="D44" s="61"/>
      <c r="H44" s="61"/>
    </row>
    <row r="45" spans="1:52" ht="13.9" customHeight="1" x14ac:dyDescent="0.2">
      <c r="A45" s="99"/>
      <c r="B45" s="64"/>
      <c r="C45" s="64"/>
    </row>
    <row r="46" spans="1:52" x14ac:dyDescent="0.2">
      <c r="A46" s="1"/>
      <c r="B46" s="207"/>
      <c r="C46" s="64"/>
    </row>
    <row r="47" spans="1:52" x14ac:dyDescent="0.2">
      <c r="B47" s="64"/>
      <c r="C47" s="64"/>
    </row>
    <row r="48" spans="1:52" x14ac:dyDescent="0.2">
      <c r="B48" s="61"/>
      <c r="C48" s="61"/>
    </row>
    <row r="49" spans="2:7" x14ac:dyDescent="0.2">
      <c r="B49" s="61"/>
      <c r="C49" s="61"/>
      <c r="E49" s="688"/>
      <c r="G49" s="688"/>
    </row>
    <row r="50" spans="2:7" x14ac:dyDescent="0.2">
      <c r="E50" s="688"/>
      <c r="G50" s="688"/>
    </row>
    <row r="51" spans="2:7" x14ac:dyDescent="0.2">
      <c r="E51" s="688"/>
      <c r="G51" s="688"/>
    </row>
    <row r="52" spans="2:7" x14ac:dyDescent="0.2">
      <c r="E52" s="689"/>
      <c r="G52" s="689"/>
    </row>
  </sheetData>
  <mergeCells count="2">
    <mergeCell ref="H3:V3"/>
    <mergeCell ref="D3:G3"/>
  </mergeCells>
  <phoneticPr fontId="6" type="noConversion"/>
  <printOptions horizontalCentered="1" verticalCentered="1"/>
  <pageMargins left="0.39370078740157483" right="0.39370078740157483" top="0.39370078740157483" bottom="0.39370078740157483" header="0.39370078740157483" footer="0"/>
  <pageSetup paperSize="8" scale="44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AS82"/>
  <sheetViews>
    <sheetView zoomScale="90" zoomScaleNormal="90" workbookViewId="0">
      <selection activeCell="J3" sqref="J3"/>
    </sheetView>
  </sheetViews>
  <sheetFormatPr defaultColWidth="9.140625" defaultRowHeight="12.75" x14ac:dyDescent="0.2"/>
  <cols>
    <col min="1" max="1" width="47" customWidth="1"/>
    <col min="2" max="2" width="9.42578125" style="59" customWidth="1"/>
    <col min="3" max="9" width="8.7109375" style="59" customWidth="1"/>
    <col min="10" max="10" width="12" style="59" customWidth="1"/>
    <col min="11" max="11" width="6.85546875" customWidth="1"/>
    <col min="12" max="12" width="4.85546875" customWidth="1"/>
  </cols>
  <sheetData>
    <row r="1" spans="1:12" ht="15" x14ac:dyDescent="0.25">
      <c r="A1" s="25" t="s">
        <v>344</v>
      </c>
      <c r="B1" s="62"/>
      <c r="C1" s="4"/>
      <c r="D1" s="3"/>
      <c r="E1" s="4"/>
      <c r="F1" s="3"/>
      <c r="G1" s="3"/>
      <c r="H1" s="3"/>
      <c r="I1" s="3"/>
      <c r="K1" s="377"/>
    </row>
    <row r="2" spans="1:12" s="25" customFormat="1" ht="9" customHeight="1" thickBot="1" x14ac:dyDescent="0.3">
      <c r="B2" s="65"/>
      <c r="C2" s="65"/>
      <c r="D2" s="65"/>
      <c r="E2" s="65"/>
      <c r="F2" s="65"/>
      <c r="G2" s="65"/>
      <c r="H2" s="65"/>
      <c r="I2" s="65"/>
      <c r="J2" s="65"/>
    </row>
    <row r="3" spans="1:12" ht="64.5" customHeight="1" x14ac:dyDescent="0.25">
      <c r="A3" s="32"/>
      <c r="B3" s="34" t="s">
        <v>116</v>
      </c>
      <c r="C3" s="13" t="s">
        <v>45</v>
      </c>
      <c r="D3" s="528" t="s">
        <v>44</v>
      </c>
      <c r="E3" s="464" t="s">
        <v>46</v>
      </c>
      <c r="F3" s="464" t="s">
        <v>48</v>
      </c>
      <c r="G3" s="464" t="s">
        <v>47</v>
      </c>
      <c r="H3" s="465" t="s">
        <v>49</v>
      </c>
      <c r="I3" s="464" t="s">
        <v>175</v>
      </c>
      <c r="J3" s="65"/>
    </row>
    <row r="4" spans="1:12" ht="27" customHeight="1" x14ac:dyDescent="0.25">
      <c r="A4" s="27" t="s">
        <v>24</v>
      </c>
      <c r="B4" s="744"/>
      <c r="C4" s="14" t="s">
        <v>1</v>
      </c>
      <c r="D4" s="529" t="s">
        <v>1</v>
      </c>
      <c r="E4" s="411" t="s">
        <v>1</v>
      </c>
      <c r="F4" s="411" t="s">
        <v>4</v>
      </c>
      <c r="G4" s="411" t="s">
        <v>1</v>
      </c>
      <c r="H4" s="411" t="s">
        <v>1</v>
      </c>
      <c r="I4" s="411" t="s">
        <v>2</v>
      </c>
      <c r="J4" s="65"/>
    </row>
    <row r="5" spans="1:12" ht="15" x14ac:dyDescent="0.25">
      <c r="A5" s="33" t="s">
        <v>9</v>
      </c>
      <c r="B5" s="745"/>
      <c r="C5" s="15">
        <v>39240.950000000004</v>
      </c>
      <c r="D5" s="530">
        <v>39241.100000000006</v>
      </c>
      <c r="E5" s="530">
        <v>39241.710000000006</v>
      </c>
      <c r="F5" s="467">
        <v>39241.860000000008</v>
      </c>
      <c r="G5" s="467">
        <v>39242.670000000006</v>
      </c>
      <c r="H5" s="467">
        <v>39243.530000000006</v>
      </c>
      <c r="I5" s="467">
        <v>43629</v>
      </c>
      <c r="J5" s="65"/>
    </row>
    <row r="6" spans="1:12" s="16" customFormat="1" ht="15" customHeight="1" x14ac:dyDescent="0.25">
      <c r="A6" s="150" t="s">
        <v>54</v>
      </c>
      <c r="B6" s="775"/>
      <c r="C6" s="1012"/>
      <c r="D6" s="777"/>
      <c r="E6" s="777"/>
      <c r="F6" s="772"/>
      <c r="G6" s="772"/>
      <c r="H6" s="772"/>
      <c r="I6" s="772"/>
      <c r="J6" s="65"/>
    </row>
    <row r="7" spans="1:12" s="16" customFormat="1" ht="15" customHeight="1" x14ac:dyDescent="0.25">
      <c r="A7" s="421" t="s">
        <v>265</v>
      </c>
      <c r="B7" s="73">
        <v>100</v>
      </c>
      <c r="C7" s="268">
        <v>101</v>
      </c>
      <c r="D7" s="269">
        <v>100</v>
      </c>
      <c r="E7" s="268">
        <v>103</v>
      </c>
      <c r="F7" s="268">
        <v>95</v>
      </c>
      <c r="G7" s="268">
        <v>100</v>
      </c>
      <c r="H7" s="268">
        <v>96</v>
      </c>
      <c r="I7" s="268">
        <v>101</v>
      </c>
      <c r="J7" s="65"/>
    </row>
    <row r="8" spans="1:12" s="16" customFormat="1" ht="15" customHeight="1" x14ac:dyDescent="0.25">
      <c r="A8" s="471" t="s">
        <v>321</v>
      </c>
      <c r="B8" s="83">
        <f>65+7.3</f>
        <v>72.3</v>
      </c>
      <c r="C8" s="271">
        <f>65+7.3</f>
        <v>72.3</v>
      </c>
      <c r="D8" s="273">
        <f>65+6.7</f>
        <v>71.7</v>
      </c>
      <c r="E8" s="271">
        <f>65+6.5</f>
        <v>71.5</v>
      </c>
      <c r="F8" s="271">
        <f>65+7.7</f>
        <v>72.7</v>
      </c>
      <c r="G8" s="271">
        <f>65+6.90000000000001</f>
        <v>71.900000000000006</v>
      </c>
      <c r="H8" s="271">
        <f>65+8.90000000000001</f>
        <v>73.900000000000006</v>
      </c>
      <c r="I8" s="271">
        <f>65+8.7</f>
        <v>73.7</v>
      </c>
      <c r="J8" s="65"/>
    </row>
    <row r="9" spans="1:12" s="16" customFormat="1" ht="15" customHeight="1" x14ac:dyDescent="0.25">
      <c r="A9" s="424" t="s">
        <v>264</v>
      </c>
      <c r="B9" s="186">
        <v>100</v>
      </c>
      <c r="C9" s="139">
        <v>101</v>
      </c>
      <c r="D9" s="140">
        <v>99</v>
      </c>
      <c r="E9" s="139">
        <v>102</v>
      </c>
      <c r="F9" s="139">
        <v>95</v>
      </c>
      <c r="G9" s="139">
        <v>100</v>
      </c>
      <c r="H9" s="139">
        <v>98</v>
      </c>
      <c r="I9" s="139">
        <v>103</v>
      </c>
      <c r="J9" s="65"/>
    </row>
    <row r="10" spans="1:12" s="16" customFormat="1" ht="15" customHeight="1" x14ac:dyDescent="0.25">
      <c r="A10" s="150" t="s">
        <v>12</v>
      </c>
      <c r="B10" s="775"/>
      <c r="C10" s="1012"/>
      <c r="D10" s="777"/>
      <c r="E10" s="777"/>
      <c r="F10" s="777"/>
      <c r="G10" s="777"/>
      <c r="H10" s="777"/>
      <c r="I10" s="777"/>
      <c r="J10" s="65"/>
      <c r="L10" s="116"/>
    </row>
    <row r="11" spans="1:12" s="16" customFormat="1" ht="15" customHeight="1" x14ac:dyDescent="0.25">
      <c r="A11" s="422" t="s">
        <v>267</v>
      </c>
      <c r="B11" s="76">
        <v>100</v>
      </c>
      <c r="C11" s="361">
        <v>100</v>
      </c>
      <c r="D11" s="279">
        <v>99</v>
      </c>
      <c r="E11" s="361">
        <v>102</v>
      </c>
      <c r="F11" s="361">
        <v>94</v>
      </c>
      <c r="G11" s="361">
        <v>99</v>
      </c>
      <c r="H11" s="361">
        <v>99</v>
      </c>
      <c r="I11" s="361">
        <v>96</v>
      </c>
      <c r="J11" s="65"/>
      <c r="L11" s="116"/>
    </row>
    <row r="12" spans="1:12" s="16" customFormat="1" ht="15" customHeight="1" x14ac:dyDescent="0.25">
      <c r="A12" s="424" t="s">
        <v>268</v>
      </c>
      <c r="B12" s="186">
        <v>100</v>
      </c>
      <c r="C12" s="139">
        <v>101</v>
      </c>
      <c r="D12" s="140">
        <v>99</v>
      </c>
      <c r="E12" s="139">
        <v>101</v>
      </c>
      <c r="F12" s="139">
        <v>96</v>
      </c>
      <c r="G12" s="139">
        <v>98</v>
      </c>
      <c r="H12" s="139">
        <v>101</v>
      </c>
      <c r="I12" s="139">
        <v>100</v>
      </c>
      <c r="J12" s="65"/>
      <c r="L12" s="116"/>
    </row>
    <row r="13" spans="1:12" s="16" customFormat="1" ht="15" customHeight="1" x14ac:dyDescent="0.25">
      <c r="A13" s="422" t="s">
        <v>266</v>
      </c>
      <c r="B13" s="76">
        <v>100</v>
      </c>
      <c r="C13" s="361">
        <v>99</v>
      </c>
      <c r="D13" s="279">
        <v>103</v>
      </c>
      <c r="E13" s="361">
        <v>103</v>
      </c>
      <c r="F13" s="361">
        <v>95</v>
      </c>
      <c r="G13" s="361">
        <v>98</v>
      </c>
      <c r="H13" s="361">
        <v>98</v>
      </c>
      <c r="I13" s="361">
        <v>100</v>
      </c>
      <c r="J13" s="65"/>
      <c r="L13" s="116"/>
    </row>
    <row r="14" spans="1:12" s="16" customFormat="1" ht="15" customHeight="1" x14ac:dyDescent="0.25">
      <c r="A14" s="444" t="s">
        <v>275</v>
      </c>
      <c r="B14" s="329">
        <v>100</v>
      </c>
      <c r="C14" s="139">
        <v>99.523809523809518</v>
      </c>
      <c r="D14" s="140">
        <v>101.24</v>
      </c>
      <c r="E14" s="140">
        <v>102.47619047619048</v>
      </c>
      <c r="F14" s="140">
        <v>94.476190476190482</v>
      </c>
      <c r="G14" s="140">
        <v>98.523809523809518</v>
      </c>
      <c r="H14" s="140">
        <v>98.523809523809518</v>
      </c>
      <c r="I14" s="140">
        <v>97.84615384615384</v>
      </c>
      <c r="J14" s="65"/>
      <c r="L14" s="116"/>
    </row>
    <row r="15" spans="1:12" s="16" customFormat="1" ht="15" customHeight="1" x14ac:dyDescent="0.25">
      <c r="A15" s="295" t="s">
        <v>13</v>
      </c>
      <c r="B15" s="747"/>
      <c r="C15" s="1013"/>
      <c r="D15" s="748"/>
      <c r="E15" s="748"/>
      <c r="F15" s="748"/>
      <c r="G15" s="748"/>
      <c r="H15" s="748"/>
      <c r="I15" s="748"/>
      <c r="J15" s="65"/>
      <c r="L15" s="116"/>
    </row>
    <row r="16" spans="1:12" s="16" customFormat="1" ht="15" customHeight="1" x14ac:dyDescent="0.25">
      <c r="A16" s="177" t="s">
        <v>89</v>
      </c>
      <c r="B16" s="142">
        <v>71.900000000000006</v>
      </c>
      <c r="C16" s="364">
        <v>72</v>
      </c>
      <c r="D16" s="281">
        <v>70.599999999999994</v>
      </c>
      <c r="E16" s="364">
        <v>70.2</v>
      </c>
      <c r="F16" s="364">
        <v>73</v>
      </c>
      <c r="G16" s="364">
        <v>72.599999999999994</v>
      </c>
      <c r="H16" s="364">
        <v>74.3</v>
      </c>
      <c r="I16" s="364">
        <v>71.400000000000006</v>
      </c>
      <c r="J16" s="65"/>
      <c r="L16" s="116"/>
    </row>
    <row r="17" spans="1:45" s="16" customFormat="1" ht="15" customHeight="1" x14ac:dyDescent="0.25">
      <c r="A17" s="177" t="s">
        <v>20</v>
      </c>
      <c r="B17" s="76">
        <v>66</v>
      </c>
      <c r="C17" s="361">
        <v>66.599999999999994</v>
      </c>
      <c r="D17" s="373">
        <v>64.5</v>
      </c>
      <c r="E17" s="368">
        <v>63.7</v>
      </c>
      <c r="F17" s="368">
        <v>69.099999999999994</v>
      </c>
      <c r="G17" s="368">
        <v>66.599999999999994</v>
      </c>
      <c r="H17" s="368">
        <v>68.400000000000006</v>
      </c>
      <c r="I17" s="368">
        <v>67.3</v>
      </c>
      <c r="J17" s="65"/>
      <c r="L17" s="116"/>
    </row>
    <row r="18" spans="1:45" s="115" customFormat="1" ht="15" customHeight="1" x14ac:dyDescent="0.25">
      <c r="A18" s="595" t="s">
        <v>90</v>
      </c>
      <c r="B18" s="591">
        <v>4.9206448148148141</v>
      </c>
      <c r="C18" s="537">
        <v>4.9839000000000002</v>
      </c>
      <c r="D18" s="592">
        <v>4.6590807407407393</v>
      </c>
      <c r="E18" s="537">
        <v>4.6048866666666655</v>
      </c>
      <c r="F18" s="537">
        <v>5.2634999999999987</v>
      </c>
      <c r="G18" s="537">
        <v>5.0351599999999976</v>
      </c>
      <c r="H18" s="537">
        <v>5.320196666666666</v>
      </c>
      <c r="I18" s="537">
        <v>4.9968046153846153</v>
      </c>
      <c r="J18" s="65"/>
      <c r="K18" s="16"/>
      <c r="L18" s="116"/>
      <c r="M18" s="16"/>
      <c r="N18" s="16"/>
    </row>
    <row r="19" spans="1:45" s="16" customFormat="1" ht="15" customHeight="1" x14ac:dyDescent="0.25">
      <c r="A19" s="596" t="s">
        <v>213</v>
      </c>
      <c r="B19" s="282">
        <v>6.8</v>
      </c>
      <c r="C19" s="374">
        <v>7</v>
      </c>
      <c r="D19" s="376">
        <v>6.9</v>
      </c>
      <c r="E19" s="374">
        <v>7</v>
      </c>
      <c r="F19" s="374">
        <v>6.8</v>
      </c>
      <c r="G19" s="374">
        <v>6.7</v>
      </c>
      <c r="H19" s="374">
        <v>6.6</v>
      </c>
      <c r="I19" s="535" t="s">
        <v>5</v>
      </c>
      <c r="J19" s="65"/>
    </row>
    <row r="20" spans="1:45" s="350" customFormat="1" ht="15" customHeight="1" x14ac:dyDescent="0.25">
      <c r="A20" s="150" t="s">
        <v>10</v>
      </c>
      <c r="B20" s="775"/>
      <c r="C20" s="1012"/>
      <c r="D20" s="777"/>
      <c r="E20" s="777"/>
      <c r="F20" s="777"/>
      <c r="G20" s="777"/>
      <c r="H20" s="777"/>
      <c r="I20" s="777"/>
      <c r="J20" s="65"/>
      <c r="K20" s="16"/>
      <c r="L20" s="116"/>
      <c r="M20" s="16"/>
      <c r="N20" s="16"/>
      <c r="O20" s="116"/>
      <c r="P20" s="116"/>
      <c r="Q20" s="116"/>
      <c r="R20" s="116"/>
      <c r="S20" s="116"/>
      <c r="T20" s="116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  <c r="AM20" s="116"/>
      <c r="AN20" s="116"/>
      <c r="AO20" s="116"/>
      <c r="AP20" s="116"/>
      <c r="AQ20" s="116"/>
      <c r="AR20" s="116"/>
      <c r="AS20" s="563"/>
    </row>
    <row r="21" spans="1:45" s="16" customFormat="1" ht="15" customHeight="1" x14ac:dyDescent="0.25">
      <c r="A21" s="421" t="s">
        <v>259</v>
      </c>
      <c r="B21" s="73">
        <v>100</v>
      </c>
      <c r="C21" s="268">
        <v>110</v>
      </c>
      <c r="D21" s="269">
        <v>98</v>
      </c>
      <c r="E21" s="268">
        <v>106</v>
      </c>
      <c r="F21" s="268">
        <v>79</v>
      </c>
      <c r="G21" s="268">
        <v>96</v>
      </c>
      <c r="H21" s="268">
        <v>89</v>
      </c>
      <c r="I21" s="470">
        <v>117</v>
      </c>
      <c r="J21" s="65"/>
      <c r="L21" s="116"/>
    </row>
    <row r="22" spans="1:45" s="16" customFormat="1" ht="15" customHeight="1" x14ac:dyDescent="0.25">
      <c r="A22" s="422" t="s">
        <v>260</v>
      </c>
      <c r="B22" s="76">
        <v>100</v>
      </c>
      <c r="C22" s="361">
        <v>104</v>
      </c>
      <c r="D22" s="279">
        <v>95</v>
      </c>
      <c r="E22" s="361">
        <v>108</v>
      </c>
      <c r="F22" s="361">
        <v>92</v>
      </c>
      <c r="G22" s="361">
        <v>98</v>
      </c>
      <c r="H22" s="361">
        <v>95</v>
      </c>
      <c r="I22" s="361">
        <v>108</v>
      </c>
      <c r="J22" s="65"/>
      <c r="L22" s="116"/>
    </row>
    <row r="23" spans="1:45" s="16" customFormat="1" ht="15" customHeight="1" x14ac:dyDescent="0.25">
      <c r="A23" s="422" t="s">
        <v>261</v>
      </c>
      <c r="B23" s="76">
        <v>100</v>
      </c>
      <c r="C23" s="361">
        <v>100</v>
      </c>
      <c r="D23" s="279">
        <v>103</v>
      </c>
      <c r="E23" s="361">
        <v>99</v>
      </c>
      <c r="F23" s="361">
        <v>98</v>
      </c>
      <c r="G23" s="361">
        <v>102</v>
      </c>
      <c r="H23" s="361">
        <v>97</v>
      </c>
      <c r="I23" s="361">
        <v>97</v>
      </c>
      <c r="J23" s="65"/>
      <c r="L23" s="116"/>
    </row>
    <row r="24" spans="1:45" s="16" customFormat="1" ht="15" customHeight="1" x14ac:dyDescent="0.25">
      <c r="A24" s="422" t="s">
        <v>262</v>
      </c>
      <c r="B24" s="76">
        <v>100</v>
      </c>
      <c r="C24" s="361">
        <v>101</v>
      </c>
      <c r="D24" s="279">
        <v>100</v>
      </c>
      <c r="E24" s="420">
        <v>102</v>
      </c>
      <c r="F24" s="361">
        <v>93</v>
      </c>
      <c r="G24" s="361">
        <v>100</v>
      </c>
      <c r="H24" s="361">
        <v>97</v>
      </c>
      <c r="I24" s="361">
        <v>99</v>
      </c>
      <c r="J24" s="65"/>
      <c r="L24" s="116"/>
    </row>
    <row r="25" spans="1:45" s="16" customFormat="1" ht="15" customHeight="1" x14ac:dyDescent="0.25">
      <c r="A25" s="423" t="s">
        <v>263</v>
      </c>
      <c r="B25" s="142">
        <v>100</v>
      </c>
      <c r="C25" s="364">
        <v>99</v>
      </c>
      <c r="D25" s="281">
        <v>100</v>
      </c>
      <c r="E25" s="364">
        <v>109</v>
      </c>
      <c r="F25" s="364">
        <v>91</v>
      </c>
      <c r="G25" s="364">
        <v>101</v>
      </c>
      <c r="H25" s="364">
        <v>92</v>
      </c>
      <c r="I25" s="364">
        <v>103</v>
      </c>
      <c r="J25" s="65"/>
      <c r="L25" s="116"/>
    </row>
    <row r="26" spans="1:45" s="352" customFormat="1" ht="15" customHeight="1" x14ac:dyDescent="0.25">
      <c r="A26" s="285" t="s">
        <v>23</v>
      </c>
      <c r="B26" s="1014"/>
      <c r="C26" s="1015"/>
      <c r="D26" s="1016"/>
      <c r="E26" s="1016"/>
      <c r="F26" s="1016"/>
      <c r="G26" s="1016"/>
      <c r="H26" s="1016"/>
      <c r="I26" s="1016"/>
      <c r="J26" s="65"/>
      <c r="K26" s="351"/>
      <c r="L26" s="116"/>
      <c r="M26" s="351"/>
      <c r="N26" s="351"/>
      <c r="O26" s="351"/>
      <c r="P26" s="351"/>
      <c r="Q26" s="351"/>
      <c r="R26" s="351"/>
      <c r="S26" s="351"/>
      <c r="T26" s="351"/>
      <c r="U26" s="351"/>
      <c r="V26" s="351"/>
      <c r="W26" s="351"/>
      <c r="X26" s="351"/>
      <c r="Y26" s="351"/>
      <c r="Z26" s="351"/>
      <c r="AA26" s="351"/>
      <c r="AB26" s="351"/>
      <c r="AC26" s="351"/>
      <c r="AD26" s="351"/>
      <c r="AE26" s="351"/>
      <c r="AF26" s="351"/>
      <c r="AG26" s="351"/>
      <c r="AH26" s="351"/>
      <c r="AI26" s="351"/>
      <c r="AJ26" s="351"/>
      <c r="AK26" s="351"/>
      <c r="AL26" s="351"/>
      <c r="AM26" s="351"/>
      <c r="AN26" s="351"/>
      <c r="AO26" s="351"/>
      <c r="AP26" s="351"/>
      <c r="AQ26" s="351"/>
      <c r="AR26" s="351"/>
      <c r="AS26" s="564"/>
    </row>
    <row r="27" spans="1:45" s="16" customFormat="1" ht="15" customHeight="1" x14ac:dyDescent="0.25">
      <c r="A27" s="421" t="s">
        <v>269</v>
      </c>
      <c r="B27" s="73">
        <v>100</v>
      </c>
      <c r="C27" s="268">
        <v>102</v>
      </c>
      <c r="D27" s="269">
        <v>99</v>
      </c>
      <c r="E27" s="268">
        <v>101</v>
      </c>
      <c r="F27" s="268">
        <v>93</v>
      </c>
      <c r="G27" s="268">
        <v>98</v>
      </c>
      <c r="H27" s="268">
        <v>99</v>
      </c>
      <c r="I27" s="268">
        <v>95</v>
      </c>
      <c r="J27" s="65"/>
    </row>
    <row r="28" spans="1:45" s="16" customFormat="1" ht="15" customHeight="1" x14ac:dyDescent="0.25">
      <c r="A28" s="471" t="s">
        <v>328</v>
      </c>
      <c r="B28" s="83">
        <f>65+-0.6</f>
        <v>64.400000000000006</v>
      </c>
      <c r="C28" s="271">
        <f>65+-1</f>
        <v>64</v>
      </c>
      <c r="D28" s="273">
        <f>65+-0.5</f>
        <v>64.5</v>
      </c>
      <c r="E28" s="271">
        <f>65+-1</f>
        <v>64</v>
      </c>
      <c r="F28" s="271">
        <f>65+1</f>
        <v>66</v>
      </c>
      <c r="G28" s="271">
        <f>65+-1.3</f>
        <v>63.7</v>
      </c>
      <c r="H28" s="271">
        <f>65+0.700000000000003</f>
        <v>65.7</v>
      </c>
      <c r="I28" s="271">
        <f>65+2.2</f>
        <v>67.2</v>
      </c>
      <c r="J28" s="65"/>
    </row>
    <row r="29" spans="1:45" s="16" customFormat="1" ht="15" customHeight="1" x14ac:dyDescent="0.25">
      <c r="A29" s="422" t="s">
        <v>270</v>
      </c>
      <c r="B29" s="76">
        <v>100</v>
      </c>
      <c r="C29" s="361">
        <v>99</v>
      </c>
      <c r="D29" s="279">
        <v>102</v>
      </c>
      <c r="E29" s="361">
        <v>102</v>
      </c>
      <c r="F29" s="361">
        <v>98</v>
      </c>
      <c r="G29" s="361">
        <v>100</v>
      </c>
      <c r="H29" s="361">
        <v>97</v>
      </c>
      <c r="I29" s="361">
        <v>96</v>
      </c>
      <c r="J29" s="65"/>
    </row>
    <row r="30" spans="1:45" s="16" customFormat="1" ht="15" customHeight="1" x14ac:dyDescent="0.25">
      <c r="A30" s="489" t="s">
        <v>345</v>
      </c>
      <c r="B30" s="83">
        <f>65+0.4</f>
        <v>65.400000000000006</v>
      </c>
      <c r="C30" s="271">
        <f>65+0.0999999999999943</f>
        <v>65.099999999999994</v>
      </c>
      <c r="D30" s="273">
        <f>65+-0.0999999999999943</f>
        <v>64.900000000000006</v>
      </c>
      <c r="E30" s="271">
        <f>65+0.0999999999999943</f>
        <v>65.099999999999994</v>
      </c>
      <c r="F30" s="271">
        <f>65+0.900000000000006</f>
        <v>65.900000000000006</v>
      </c>
      <c r="G30" s="271">
        <f>65+0</f>
        <v>65</v>
      </c>
      <c r="H30" s="271">
        <f>65+1.90000000000001</f>
        <v>66.900000000000006</v>
      </c>
      <c r="I30" s="271">
        <f>65+3.09999999999999</f>
        <v>68.099999999999994</v>
      </c>
      <c r="J30" s="65"/>
      <c r="K30" s="261"/>
      <c r="L30" s="261"/>
    </row>
    <row r="31" spans="1:45" s="16" customFormat="1" ht="15" customHeight="1" x14ac:dyDescent="0.25">
      <c r="A31" s="422" t="s">
        <v>271</v>
      </c>
      <c r="B31" s="76">
        <v>100</v>
      </c>
      <c r="C31" s="361">
        <v>97</v>
      </c>
      <c r="D31" s="279">
        <v>100</v>
      </c>
      <c r="E31" s="361">
        <v>106</v>
      </c>
      <c r="F31" s="361">
        <v>95</v>
      </c>
      <c r="G31" s="361">
        <v>98</v>
      </c>
      <c r="H31" s="361">
        <v>100</v>
      </c>
      <c r="I31" s="361">
        <v>94</v>
      </c>
      <c r="J31" s="65"/>
    </row>
    <row r="32" spans="1:45" s="16" customFormat="1" ht="15" customHeight="1" x14ac:dyDescent="0.25">
      <c r="A32" s="425" t="s">
        <v>272</v>
      </c>
      <c r="B32" s="329">
        <v>100</v>
      </c>
      <c r="C32" s="361">
        <v>96</v>
      </c>
      <c r="D32" s="279">
        <v>96</v>
      </c>
      <c r="E32" s="361">
        <v>102</v>
      </c>
      <c r="F32" s="361">
        <v>92</v>
      </c>
      <c r="G32" s="361">
        <v>103</v>
      </c>
      <c r="H32" s="361">
        <v>103</v>
      </c>
      <c r="I32" s="361">
        <v>101</v>
      </c>
      <c r="J32" s="65"/>
    </row>
    <row r="33" spans="1:45" s="16" customFormat="1" ht="8.25" customHeight="1" x14ac:dyDescent="0.25">
      <c r="A33" s="1017"/>
      <c r="B33" s="890"/>
      <c r="C33" s="1018"/>
      <c r="D33" s="1019"/>
      <c r="E33" s="1019"/>
      <c r="F33" s="1019"/>
      <c r="G33" s="1019"/>
      <c r="H33" s="1019"/>
      <c r="I33" s="1019"/>
      <c r="J33" s="65"/>
    </row>
    <row r="34" spans="1:45" s="16" customFormat="1" ht="15" customHeight="1" x14ac:dyDescent="0.25">
      <c r="A34" s="166" t="s">
        <v>7</v>
      </c>
      <c r="B34" s="751"/>
      <c r="C34" s="42">
        <v>2005</v>
      </c>
      <c r="D34" s="43">
        <v>2001</v>
      </c>
      <c r="E34" s="42">
        <v>2003</v>
      </c>
      <c r="F34" s="42">
        <v>1990</v>
      </c>
      <c r="G34" s="42">
        <v>1989</v>
      </c>
      <c r="H34" s="42">
        <v>2003</v>
      </c>
      <c r="I34" s="412">
        <v>2020</v>
      </c>
      <c r="J34" s="65"/>
    </row>
    <row r="35" spans="1:45" s="16" customFormat="1" ht="15" customHeight="1" x14ac:dyDescent="0.25">
      <c r="A35" s="1215" t="s">
        <v>354</v>
      </c>
      <c r="B35" s="1217"/>
      <c r="C35" s="1223" t="s">
        <v>376</v>
      </c>
      <c r="D35" s="1222" t="s">
        <v>362</v>
      </c>
      <c r="E35" s="1222" t="s">
        <v>362</v>
      </c>
      <c r="F35" s="1222" t="s">
        <v>377</v>
      </c>
      <c r="G35" s="1222" t="s">
        <v>356</v>
      </c>
      <c r="H35" s="1222" t="s">
        <v>356</v>
      </c>
      <c r="I35" s="1222" t="s">
        <v>378</v>
      </c>
      <c r="J35" s="65"/>
    </row>
    <row r="36" spans="1:45" s="16" customFormat="1" ht="15" customHeight="1" x14ac:dyDescent="0.25">
      <c r="A36" s="1215" t="s">
        <v>355</v>
      </c>
      <c r="B36" s="1217"/>
      <c r="C36" s="1222" t="s">
        <v>368</v>
      </c>
      <c r="D36" s="1222" t="s">
        <v>366</v>
      </c>
      <c r="E36" s="1222" t="s">
        <v>359</v>
      </c>
      <c r="F36" s="1222" t="s">
        <v>359</v>
      </c>
      <c r="G36" s="1222" t="s">
        <v>366</v>
      </c>
      <c r="H36" s="1222" t="s">
        <v>359</v>
      </c>
      <c r="I36" s="1222" t="s">
        <v>367</v>
      </c>
      <c r="J36" s="65"/>
    </row>
    <row r="37" spans="1:45" s="353" customFormat="1" ht="15" customHeight="1" x14ac:dyDescent="0.25">
      <c r="A37" s="159" t="s">
        <v>8</v>
      </c>
      <c r="B37" s="1020"/>
      <c r="C37" s="1021"/>
      <c r="D37" s="1022"/>
      <c r="E37" s="1022"/>
      <c r="F37" s="1022"/>
      <c r="G37" s="1022"/>
      <c r="H37" s="1022"/>
      <c r="I37" s="1022"/>
      <c r="J37" s="65"/>
      <c r="K37" s="116"/>
      <c r="L37" s="116"/>
      <c r="M37" s="116"/>
      <c r="N37" s="116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565"/>
    </row>
    <row r="38" spans="1:45" s="16" customFormat="1" ht="15" customHeight="1" x14ac:dyDescent="0.25">
      <c r="A38" s="303" t="s">
        <v>25</v>
      </c>
      <c r="B38" s="755"/>
      <c r="C38" s="320">
        <v>11</v>
      </c>
      <c r="D38" s="527">
        <v>11</v>
      </c>
      <c r="E38" s="319">
        <v>11</v>
      </c>
      <c r="F38" s="319">
        <v>11</v>
      </c>
      <c r="G38" s="319">
        <v>11</v>
      </c>
      <c r="H38" s="319">
        <v>11</v>
      </c>
      <c r="I38" s="319">
        <v>7</v>
      </c>
      <c r="J38" s="65"/>
    </row>
    <row r="39" spans="1:45" s="16" customFormat="1" ht="15" customHeight="1" x14ac:dyDescent="0.25">
      <c r="A39" s="307" t="s">
        <v>26</v>
      </c>
      <c r="B39" s="757"/>
      <c r="C39" s="322">
        <v>11</v>
      </c>
      <c r="D39" s="321">
        <v>13</v>
      </c>
      <c r="E39" s="322">
        <v>11</v>
      </c>
      <c r="F39" s="322">
        <v>11</v>
      </c>
      <c r="G39" s="322">
        <v>11</v>
      </c>
      <c r="H39" s="322">
        <v>11</v>
      </c>
      <c r="I39" s="322">
        <v>7</v>
      </c>
      <c r="J39" s="65"/>
    </row>
    <row r="40" spans="1:45" s="16" customFormat="1" ht="15" customHeight="1" thickBot="1" x14ac:dyDescent="0.3">
      <c r="A40" s="325" t="s">
        <v>27</v>
      </c>
      <c r="B40" s="759"/>
      <c r="C40" s="326">
        <v>10</v>
      </c>
      <c r="D40" s="327">
        <v>14</v>
      </c>
      <c r="E40" s="326">
        <v>10</v>
      </c>
      <c r="F40" s="326">
        <v>10</v>
      </c>
      <c r="G40" s="326">
        <v>10</v>
      </c>
      <c r="H40" s="326">
        <v>10</v>
      </c>
      <c r="I40" s="326">
        <v>6</v>
      </c>
      <c r="J40" s="65"/>
    </row>
    <row r="41" spans="1:45" ht="15" x14ac:dyDescent="0.25">
      <c r="J41" s="65"/>
    </row>
    <row r="42" spans="1:45" ht="15" x14ac:dyDescent="0.25">
      <c r="A42" s="1"/>
      <c r="B42" s="2"/>
      <c r="D42" s="57"/>
      <c r="G42" s="57"/>
      <c r="H42" s="57"/>
      <c r="I42" s="57"/>
      <c r="J42" s="65"/>
    </row>
    <row r="43" spans="1:45" ht="15" x14ac:dyDescent="0.25">
      <c r="A43" s="1"/>
      <c r="B43" s="2"/>
      <c r="D43" s="57"/>
      <c r="G43" s="57"/>
      <c r="H43" s="57"/>
      <c r="I43" s="57"/>
      <c r="J43" s="65"/>
    </row>
    <row r="44" spans="1:45" ht="15" x14ac:dyDescent="0.25">
      <c r="A44" s="1"/>
      <c r="B44" s="2"/>
      <c r="D44" s="57"/>
      <c r="G44" s="57"/>
      <c r="H44" s="57"/>
      <c r="I44" s="57"/>
      <c r="J44" s="65"/>
    </row>
    <row r="45" spans="1:45" ht="15" x14ac:dyDescent="0.25">
      <c r="A45" s="1"/>
      <c r="B45" s="2"/>
      <c r="D45" s="57"/>
      <c r="G45" s="57"/>
      <c r="H45" s="57"/>
      <c r="I45" s="57"/>
      <c r="J45" s="65"/>
    </row>
    <row r="46" spans="1:45" ht="15" x14ac:dyDescent="0.25">
      <c r="B46" s="44"/>
      <c r="J46" s="65"/>
    </row>
    <row r="47" spans="1:45" ht="15" x14ac:dyDescent="0.25">
      <c r="A47" s="8"/>
      <c r="J47" s="65"/>
    </row>
    <row r="48" spans="1:45" ht="15" x14ac:dyDescent="0.25">
      <c r="C48" s="347"/>
      <c r="J48" s="65"/>
    </row>
    <row r="49" spans="3:10" ht="15" x14ac:dyDescent="0.25">
      <c r="C49" s="590"/>
      <c r="J49" s="65"/>
    </row>
    <row r="50" spans="3:10" ht="15" x14ac:dyDescent="0.25">
      <c r="C50" s="348"/>
      <c r="J50" s="65"/>
    </row>
    <row r="51" spans="3:10" ht="15" x14ac:dyDescent="0.25">
      <c r="J51" s="65"/>
    </row>
    <row r="52" spans="3:10" ht="15" x14ac:dyDescent="0.25">
      <c r="J52" s="65"/>
    </row>
    <row r="53" spans="3:10" ht="15" x14ac:dyDescent="0.25">
      <c r="J53" s="65"/>
    </row>
    <row r="54" spans="3:10" ht="15" x14ac:dyDescent="0.25">
      <c r="J54" s="65"/>
    </row>
    <row r="55" spans="3:10" ht="15" x14ac:dyDescent="0.25">
      <c r="J55" s="65"/>
    </row>
    <row r="56" spans="3:10" ht="15" x14ac:dyDescent="0.25">
      <c r="J56" s="65"/>
    </row>
    <row r="57" spans="3:10" ht="15" x14ac:dyDescent="0.25">
      <c r="J57" s="65"/>
    </row>
    <row r="58" spans="3:10" ht="15" x14ac:dyDescent="0.25">
      <c r="J58" s="65"/>
    </row>
    <row r="59" spans="3:10" ht="15" x14ac:dyDescent="0.25">
      <c r="J59" s="65"/>
    </row>
    <row r="60" spans="3:10" ht="15" x14ac:dyDescent="0.25">
      <c r="J60" s="65"/>
    </row>
    <row r="61" spans="3:10" ht="15" x14ac:dyDescent="0.25">
      <c r="J61" s="65"/>
    </row>
    <row r="62" spans="3:10" ht="15" x14ac:dyDescent="0.25">
      <c r="J62" s="65"/>
    </row>
    <row r="63" spans="3:10" ht="15" x14ac:dyDescent="0.25">
      <c r="J63" s="65"/>
    </row>
    <row r="64" spans="3:10" ht="15" x14ac:dyDescent="0.25">
      <c r="J64" s="65"/>
    </row>
    <row r="65" spans="10:10" ht="15" x14ac:dyDescent="0.25">
      <c r="J65" s="65"/>
    </row>
    <row r="66" spans="10:10" ht="15" x14ac:dyDescent="0.25">
      <c r="J66" s="65"/>
    </row>
    <row r="67" spans="10:10" ht="15" x14ac:dyDescent="0.25">
      <c r="J67" s="65"/>
    </row>
    <row r="68" spans="10:10" ht="15" x14ac:dyDescent="0.25">
      <c r="J68" s="65"/>
    </row>
    <row r="69" spans="10:10" ht="15" x14ac:dyDescent="0.25">
      <c r="J69" s="65"/>
    </row>
    <row r="70" spans="10:10" ht="15" x14ac:dyDescent="0.25">
      <c r="J70" s="65"/>
    </row>
    <row r="71" spans="10:10" ht="15" x14ac:dyDescent="0.25">
      <c r="J71" s="65"/>
    </row>
    <row r="72" spans="10:10" ht="15" x14ac:dyDescent="0.25">
      <c r="J72" s="65"/>
    </row>
    <row r="73" spans="10:10" ht="15" x14ac:dyDescent="0.25">
      <c r="J73" s="65"/>
    </row>
    <row r="74" spans="10:10" ht="15" x14ac:dyDescent="0.25">
      <c r="J74" s="65"/>
    </row>
    <row r="75" spans="10:10" ht="15" x14ac:dyDescent="0.25">
      <c r="J75" s="65"/>
    </row>
    <row r="76" spans="10:10" ht="15" x14ac:dyDescent="0.25">
      <c r="J76" s="65"/>
    </row>
    <row r="77" spans="10:10" ht="15" x14ac:dyDescent="0.25">
      <c r="J77" s="65"/>
    </row>
    <row r="78" spans="10:10" ht="15" x14ac:dyDescent="0.25">
      <c r="J78" s="65"/>
    </row>
    <row r="79" spans="10:10" ht="15" x14ac:dyDescent="0.25">
      <c r="J79" s="65"/>
    </row>
    <row r="80" spans="10:10" ht="15" x14ac:dyDescent="0.25">
      <c r="J80" s="65"/>
    </row>
    <row r="81" spans="10:10" ht="15" x14ac:dyDescent="0.25">
      <c r="J81" s="65"/>
    </row>
    <row r="82" spans="10:10" ht="15" x14ac:dyDescent="0.25">
      <c r="J82" s="65"/>
    </row>
  </sheetData>
  <phoneticPr fontId="6" type="noConversion"/>
  <printOptions horizontalCentered="1" verticalCentered="1"/>
  <pageMargins left="0.39370078740157483" right="0.39370078740157483" top="0.39370078740157483" bottom="0.39370078740157483" header="0.31496062992125984" footer="0.11811023622047245"/>
  <pageSetup paperSize="8" scale="6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T1137"/>
  <sheetViews>
    <sheetView zoomScale="80" zoomScaleNormal="80" workbookViewId="0">
      <selection activeCell="L3" sqref="L3"/>
    </sheetView>
  </sheetViews>
  <sheetFormatPr defaultColWidth="9.140625" defaultRowHeight="12.75" x14ac:dyDescent="0.2"/>
  <cols>
    <col min="1" max="1" width="21" style="8" customWidth="1"/>
    <col min="2" max="2" width="34.7109375" style="8" customWidth="1"/>
    <col min="3" max="3" width="9.140625" style="8" customWidth="1"/>
    <col min="4" max="4" width="9.140625" style="7" customWidth="1"/>
    <col min="5" max="7" width="9.140625" style="8" customWidth="1"/>
    <col min="8" max="8" width="9.140625" style="7" customWidth="1"/>
    <col min="9" max="9" width="9.140625" style="8" customWidth="1"/>
    <col min="10" max="10" width="9.140625" style="7" customWidth="1"/>
    <col min="11" max="14" width="9.140625" style="8" customWidth="1"/>
    <col min="15" max="15" width="9.140625" style="7" customWidth="1"/>
    <col min="16" max="16" width="9.140625" style="1" customWidth="1"/>
    <col min="17" max="17" width="9.140625" style="582" customWidth="1"/>
    <col min="18" max="20" width="9.140625" style="8" customWidth="1"/>
    <col min="21" max="21" width="3.5703125" style="18" customWidth="1"/>
    <col min="22" max="16384" width="9.140625" style="8"/>
  </cols>
  <sheetData>
    <row r="1" spans="1:46" ht="15" x14ac:dyDescent="0.25">
      <c r="A1" s="25" t="s">
        <v>343</v>
      </c>
      <c r="B1" s="25"/>
      <c r="U1" s="7"/>
    </row>
    <row r="2" spans="1:46" ht="6.75" customHeight="1" thickBot="1" x14ac:dyDescent="0.3">
      <c r="A2" s="25"/>
      <c r="B2" s="25"/>
      <c r="C2" s="9"/>
      <c r="D2" s="10"/>
      <c r="E2" s="9"/>
      <c r="F2" s="9"/>
      <c r="G2" s="9"/>
      <c r="H2" s="10"/>
      <c r="I2" s="9"/>
      <c r="J2" s="10"/>
      <c r="K2" s="9"/>
      <c r="L2" s="9"/>
      <c r="M2" s="9"/>
      <c r="N2" s="9"/>
      <c r="O2" s="10"/>
      <c r="P2" s="9"/>
      <c r="Q2" s="583"/>
      <c r="R2" s="222"/>
      <c r="S2" s="222"/>
      <c r="T2" s="222"/>
      <c r="U2" s="10"/>
    </row>
    <row r="3" spans="1:46" ht="111" customHeight="1" thickTop="1" x14ac:dyDescent="0.2">
      <c r="A3" s="108"/>
      <c r="B3" s="963"/>
      <c r="C3" s="519" t="s">
        <v>60</v>
      </c>
      <c r="D3" s="518" t="s">
        <v>237</v>
      </c>
      <c r="E3" s="518" t="s">
        <v>61</v>
      </c>
      <c r="F3" s="518" t="s">
        <v>111</v>
      </c>
      <c r="G3" s="518" t="s">
        <v>177</v>
      </c>
      <c r="H3" s="518" t="s">
        <v>71</v>
      </c>
      <c r="I3" s="518" t="s">
        <v>69</v>
      </c>
      <c r="J3" s="518" t="s">
        <v>62</v>
      </c>
      <c r="K3" s="518" t="s">
        <v>101</v>
      </c>
      <c r="L3" s="518" t="s">
        <v>276</v>
      </c>
      <c r="M3" s="518" t="s">
        <v>94</v>
      </c>
      <c r="N3" s="518" t="s">
        <v>209</v>
      </c>
      <c r="O3" s="518" t="s">
        <v>15</v>
      </c>
      <c r="P3" s="518" t="s">
        <v>16</v>
      </c>
      <c r="Q3" s="519" t="s">
        <v>203</v>
      </c>
      <c r="R3" s="519" t="s">
        <v>17</v>
      </c>
      <c r="S3" s="518" t="s">
        <v>178</v>
      </c>
      <c r="T3" s="976" t="s">
        <v>95</v>
      </c>
      <c r="U3" s="8"/>
    </row>
    <row r="4" spans="1:46" ht="33" customHeight="1" x14ac:dyDescent="0.2">
      <c r="A4" s="20"/>
      <c r="B4" s="337" t="s">
        <v>18</v>
      </c>
      <c r="C4" s="521" t="s">
        <v>1</v>
      </c>
      <c r="D4" s="520" t="s">
        <v>1</v>
      </c>
      <c r="E4" s="520" t="s">
        <v>1</v>
      </c>
      <c r="F4" s="520" t="s">
        <v>2</v>
      </c>
      <c r="G4" s="520" t="s">
        <v>2</v>
      </c>
      <c r="H4" s="520" t="s">
        <v>1</v>
      </c>
      <c r="I4" s="520" t="s">
        <v>1</v>
      </c>
      <c r="J4" s="520" t="s">
        <v>1</v>
      </c>
      <c r="K4" s="409" t="s">
        <v>1</v>
      </c>
      <c r="L4" s="520" t="s">
        <v>1</v>
      </c>
      <c r="M4" s="520" t="s">
        <v>1</v>
      </c>
      <c r="N4" s="520" t="s">
        <v>3</v>
      </c>
      <c r="O4" s="520" t="s">
        <v>1</v>
      </c>
      <c r="P4" s="520" t="s">
        <v>1</v>
      </c>
      <c r="Q4" s="520" t="s">
        <v>2</v>
      </c>
      <c r="R4" s="521" t="s">
        <v>1</v>
      </c>
      <c r="S4" s="520" t="s">
        <v>2</v>
      </c>
      <c r="T4" s="977" t="s">
        <v>1</v>
      </c>
      <c r="U4" s="8"/>
    </row>
    <row r="5" spans="1:46" s="110" customFormat="1" ht="21" customHeight="1" x14ac:dyDescent="0.2">
      <c r="A5" s="1238" t="s">
        <v>66</v>
      </c>
      <c r="B5" s="1239"/>
      <c r="C5" s="53">
        <v>442.46199999999999</v>
      </c>
      <c r="D5" s="35">
        <v>630.67899999999997</v>
      </c>
      <c r="E5" s="35">
        <v>760.13400000000001</v>
      </c>
      <c r="F5" s="35">
        <v>776.01099999999997</v>
      </c>
      <c r="G5" s="35">
        <v>804.32500000000005</v>
      </c>
      <c r="H5" s="35">
        <v>812.87199999999996</v>
      </c>
      <c r="I5" s="35">
        <v>840.60299999999995</v>
      </c>
      <c r="J5" s="35">
        <v>899.89200000000005</v>
      </c>
      <c r="K5" s="35">
        <v>924.37900000000002</v>
      </c>
      <c r="L5" s="35">
        <v>936.226</v>
      </c>
      <c r="M5" s="35">
        <v>967.1</v>
      </c>
      <c r="N5" s="35">
        <v>1007.5119999999999</v>
      </c>
      <c r="O5" s="35">
        <v>1038.664</v>
      </c>
      <c r="P5" s="35">
        <v>1111.9960000000001</v>
      </c>
      <c r="Q5" s="543">
        <v>1124.5309999999999</v>
      </c>
      <c r="R5" s="53">
        <v>1345.6579999999999</v>
      </c>
      <c r="S5" s="586">
        <v>1352.9179999999999</v>
      </c>
      <c r="T5" s="978">
        <v>1463.16</v>
      </c>
    </row>
    <row r="6" spans="1:46" s="112" customFormat="1" ht="18" customHeight="1" x14ac:dyDescent="0.2">
      <c r="A6" s="111" t="s">
        <v>81</v>
      </c>
      <c r="B6" s="964"/>
      <c r="C6" s="992"/>
      <c r="D6" s="992"/>
      <c r="E6" s="992"/>
      <c r="F6" s="992"/>
      <c r="G6" s="992"/>
      <c r="H6" s="992"/>
      <c r="I6" s="992"/>
      <c r="J6" s="992"/>
      <c r="K6" s="992"/>
      <c r="L6" s="992"/>
      <c r="M6" s="992"/>
      <c r="N6" s="992"/>
      <c r="O6" s="992"/>
      <c r="P6" s="992"/>
      <c r="Q6" s="993"/>
      <c r="R6" s="992"/>
      <c r="S6" s="992"/>
      <c r="T6" s="994"/>
    </row>
    <row r="7" spans="1:46" s="112" customFormat="1" ht="18.75" customHeight="1" x14ac:dyDescent="0.2">
      <c r="A7" s="167" t="s">
        <v>84</v>
      </c>
      <c r="B7" s="965"/>
      <c r="C7" s="1002"/>
      <c r="D7" s="1003"/>
      <c r="E7" s="1003"/>
      <c r="F7" s="1003"/>
      <c r="G7" s="1003"/>
      <c r="H7" s="1003"/>
      <c r="I7" s="1003"/>
      <c r="J7" s="1003"/>
      <c r="K7" s="1003"/>
      <c r="L7" s="1003"/>
      <c r="M7" s="1003"/>
      <c r="N7" s="1003"/>
      <c r="O7" s="1003"/>
      <c r="P7" s="1003"/>
      <c r="Q7" s="1002"/>
      <c r="R7" s="1002"/>
      <c r="S7" s="1003"/>
      <c r="T7" s="1004"/>
    </row>
    <row r="8" spans="1:46" s="112" customFormat="1" ht="19.5" customHeight="1" x14ac:dyDescent="0.2">
      <c r="A8" s="441" t="s">
        <v>342</v>
      </c>
      <c r="B8" s="966"/>
      <c r="C8" s="544">
        <v>75.90135394717575</v>
      </c>
      <c r="D8" s="587">
        <v>85.216075529796129</v>
      </c>
      <c r="E8" s="587">
        <v>98.623467235182332</v>
      </c>
      <c r="F8" s="587">
        <v>93.317361683934081</v>
      </c>
      <c r="G8" s="587">
        <v>88.582314535426747</v>
      </c>
      <c r="H8" s="587">
        <v>89.092874369113687</v>
      </c>
      <c r="I8" s="587">
        <v>95.069762134807149</v>
      </c>
      <c r="J8" s="587">
        <v>100.87764514073854</v>
      </c>
      <c r="K8" s="587">
        <v>105.46241376220875</v>
      </c>
      <c r="L8" s="587">
        <v>101.51337934616633</v>
      </c>
      <c r="M8" s="587">
        <v>110.33865140750795</v>
      </c>
      <c r="N8" s="587">
        <v>106.67114216157316</v>
      </c>
      <c r="O8" s="587">
        <v>105.18445452325109</v>
      </c>
      <c r="P8" s="587">
        <v>105.92649423044868</v>
      </c>
      <c r="Q8" s="544">
        <v>101.14985813635731</v>
      </c>
      <c r="R8" s="544">
        <v>111.09862265420286</v>
      </c>
      <c r="S8" s="587">
        <v>112.0522545274687</v>
      </c>
      <c r="T8" s="979">
        <v>114.6474169579657</v>
      </c>
    </row>
    <row r="9" spans="1:46" s="112" customFormat="1" ht="19.5" customHeight="1" x14ac:dyDescent="0.2">
      <c r="A9" s="442" t="s">
        <v>341</v>
      </c>
      <c r="B9" s="967"/>
      <c r="C9" s="544">
        <v>91.215204114294352</v>
      </c>
      <c r="D9" s="587">
        <v>97.405634500908135</v>
      </c>
      <c r="E9" s="587">
        <v>99.351267050547023</v>
      </c>
      <c r="F9" s="587">
        <v>97.405634500908135</v>
      </c>
      <c r="G9" s="587">
        <v>98.497685403354353</v>
      </c>
      <c r="H9" s="587">
        <v>96.500242345414037</v>
      </c>
      <c r="I9" s="587">
        <v>99.65701011358783</v>
      </c>
      <c r="J9" s="587">
        <v>100.94626035959801</v>
      </c>
      <c r="K9" s="587">
        <v>100.82311763197967</v>
      </c>
      <c r="L9" s="587">
        <v>100.63854445761919</v>
      </c>
      <c r="M9" s="587">
        <v>102.5539549936215</v>
      </c>
      <c r="N9" s="587">
        <v>103.36256530749799</v>
      </c>
      <c r="O9" s="587">
        <v>101.25444598513351</v>
      </c>
      <c r="P9" s="587">
        <v>101.68669499645841</v>
      </c>
      <c r="Q9" s="544">
        <v>103.23795704238282</v>
      </c>
      <c r="R9" s="544">
        <v>102.49188572284227</v>
      </c>
      <c r="S9" s="587">
        <v>101.99600795852997</v>
      </c>
      <c r="T9" s="979">
        <v>104.04925417500345</v>
      </c>
    </row>
    <row r="10" spans="1:46" s="112" customFormat="1" ht="19.5" customHeight="1" x14ac:dyDescent="0.2">
      <c r="A10" s="168" t="s">
        <v>19</v>
      </c>
      <c r="B10" s="968"/>
      <c r="C10" s="545">
        <v>38.36363231884463</v>
      </c>
      <c r="D10" s="588">
        <v>40.3343331661587</v>
      </c>
      <c r="E10" s="588">
        <v>45.766140318229766</v>
      </c>
      <c r="F10" s="588">
        <v>44.168820647351566</v>
      </c>
      <c r="G10" s="588">
        <v>41.462781187420383</v>
      </c>
      <c r="H10" s="588">
        <v>42.56493729327957</v>
      </c>
      <c r="I10" s="588">
        <v>43.981697294196131</v>
      </c>
      <c r="J10" s="588">
        <v>46.072537496449613</v>
      </c>
      <c r="K10" s="588">
        <v>48.225308641975303</v>
      </c>
      <c r="L10" s="588">
        <v>46.504648902234017</v>
      </c>
      <c r="M10" s="588">
        <v>49.60354204163712</v>
      </c>
      <c r="N10" s="588">
        <v>47.579634026446186</v>
      </c>
      <c r="O10" s="588">
        <v>47.893313926058688</v>
      </c>
      <c r="P10" s="588">
        <v>48.026163838102008</v>
      </c>
      <c r="Q10" s="545">
        <v>45.171374687477972</v>
      </c>
      <c r="R10" s="545">
        <v>49.975439533359385</v>
      </c>
      <c r="S10" s="588">
        <v>50.649464286947854</v>
      </c>
      <c r="T10" s="980">
        <v>50.799885586168635</v>
      </c>
    </row>
    <row r="11" spans="1:46" s="116" customFormat="1" ht="19.5" customHeight="1" x14ac:dyDescent="0.2">
      <c r="A11" s="441" t="s">
        <v>338</v>
      </c>
      <c r="B11" s="966"/>
      <c r="C11" s="544">
        <v>74.643739329854796</v>
      </c>
      <c r="D11" s="587">
        <v>78.981852017196331</v>
      </c>
      <c r="E11" s="587">
        <v>92.048238579305433</v>
      </c>
      <c r="F11" s="587">
        <v>107.27874793527489</v>
      </c>
      <c r="G11" s="587">
        <v>94.819657933227717</v>
      </c>
      <c r="H11" s="544">
        <v>91.016631212009742</v>
      </c>
      <c r="I11" s="587">
        <v>97.971477098855743</v>
      </c>
      <c r="J11" s="587">
        <v>109.72929587567559</v>
      </c>
      <c r="K11" s="544">
        <v>115.16004871587069</v>
      </c>
      <c r="L11" s="544">
        <v>108.730423196912</v>
      </c>
      <c r="M11" s="544">
        <v>112.5972392458217</v>
      </c>
      <c r="N11" s="587">
        <v>110.11469379672974</v>
      </c>
      <c r="O11" s="587">
        <v>102.13844995789867</v>
      </c>
      <c r="P11" s="587">
        <v>117.19391588559776</v>
      </c>
      <c r="Q11" s="544">
        <v>127.29829282793452</v>
      </c>
      <c r="R11" s="544">
        <v>109.90906416129636</v>
      </c>
      <c r="S11" s="587">
        <v>119.03159712905382</v>
      </c>
      <c r="T11" s="979">
        <v>110.81011262476865</v>
      </c>
    </row>
    <row r="12" spans="1:46" s="117" customFormat="1" ht="19.5" customHeight="1" x14ac:dyDescent="0.2">
      <c r="A12" s="441" t="s">
        <v>337</v>
      </c>
      <c r="B12" s="970"/>
      <c r="C12" s="544">
        <v>60.71904054125816</v>
      </c>
      <c r="D12" s="587">
        <v>66.118438908530933</v>
      </c>
      <c r="E12" s="587">
        <v>97.061915528476646</v>
      </c>
      <c r="F12" s="587">
        <v>87.584689232959647</v>
      </c>
      <c r="G12" s="587">
        <v>84.770313007836947</v>
      </c>
      <c r="H12" s="544">
        <v>79.397879583902338</v>
      </c>
      <c r="I12" s="587">
        <v>92.479719386298882</v>
      </c>
      <c r="J12" s="587">
        <v>101.11207300437344</v>
      </c>
      <c r="K12" s="544">
        <v>106.58613685770123</v>
      </c>
      <c r="L12" s="544">
        <v>104.37376139151915</v>
      </c>
      <c r="M12" s="544">
        <v>112.23267202500575</v>
      </c>
      <c r="N12" s="587">
        <v>108.18456211660965</v>
      </c>
      <c r="O12" s="587">
        <v>112.31721110080508</v>
      </c>
      <c r="P12" s="587">
        <v>118.28511181052394</v>
      </c>
      <c r="Q12" s="544">
        <v>100.60461045267981</v>
      </c>
      <c r="R12" s="544">
        <v>121.78146593243164</v>
      </c>
      <c r="S12" s="587">
        <v>125.23944142514895</v>
      </c>
      <c r="T12" s="979">
        <v>127.42150652682595</v>
      </c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</row>
    <row r="13" spans="1:46" s="117" customFormat="1" ht="16.5" customHeight="1" x14ac:dyDescent="0.2">
      <c r="A13" s="167" t="s">
        <v>85</v>
      </c>
      <c r="B13" s="965"/>
      <c r="C13" s="995"/>
      <c r="D13" s="996"/>
      <c r="E13" s="996"/>
      <c r="F13" s="996"/>
      <c r="G13" s="996"/>
      <c r="H13" s="996"/>
      <c r="I13" s="996"/>
      <c r="J13" s="996"/>
      <c r="K13" s="996"/>
      <c r="L13" s="996"/>
      <c r="M13" s="996"/>
      <c r="N13" s="996"/>
      <c r="O13" s="996"/>
      <c r="P13" s="996"/>
      <c r="Q13" s="995"/>
      <c r="R13" s="995"/>
      <c r="S13" s="996"/>
      <c r="T13" s="997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</row>
    <row r="14" spans="1:46" s="112" customFormat="1" ht="20.25" customHeight="1" x14ac:dyDescent="0.2">
      <c r="A14" s="441" t="s">
        <v>340</v>
      </c>
      <c r="B14" s="966"/>
      <c r="C14" s="544">
        <v>71.022205106598363</v>
      </c>
      <c r="D14" s="587">
        <v>74.487230362158414</v>
      </c>
      <c r="E14" s="587">
        <v>110.11270626526087</v>
      </c>
      <c r="F14" s="587">
        <v>94.008511507841675</v>
      </c>
      <c r="G14" s="587">
        <v>94.393200667218679</v>
      </c>
      <c r="H14" s="587">
        <v>89.922711058263943</v>
      </c>
      <c r="I14" s="587">
        <v>98.972135701526128</v>
      </c>
      <c r="J14" s="587">
        <v>92.191964721235237</v>
      </c>
      <c r="K14" s="587">
        <v>113.57071128731009</v>
      </c>
      <c r="L14" s="587">
        <v>97.890749731876156</v>
      </c>
      <c r="M14" s="587">
        <v>112.51718533526433</v>
      </c>
      <c r="N14" s="587">
        <v>121.30101932612351</v>
      </c>
      <c r="O14" s="587">
        <v>110.21670881555954</v>
      </c>
      <c r="P14" s="587">
        <v>111.15494093263889</v>
      </c>
      <c r="Q14" s="544">
        <v>109.2824531943849</v>
      </c>
      <c r="R14" s="544">
        <v>105.68703814718306</v>
      </c>
      <c r="S14" s="587">
        <v>115.69249095401177</v>
      </c>
      <c r="T14" s="979">
        <v>113.99349625930535</v>
      </c>
    </row>
    <row r="15" spans="1:46" s="112" customFormat="1" ht="20.25" customHeight="1" x14ac:dyDescent="0.2">
      <c r="A15" s="442" t="s">
        <v>339</v>
      </c>
      <c r="B15" s="967"/>
      <c r="C15" s="544">
        <v>90.234535757781302</v>
      </c>
      <c r="D15" s="587">
        <v>93.045602957098254</v>
      </c>
      <c r="E15" s="587">
        <v>102.70566379414392</v>
      </c>
      <c r="F15" s="587">
        <v>97.658227727968168</v>
      </c>
      <c r="G15" s="587">
        <v>101.09461952978045</v>
      </c>
      <c r="H15" s="587">
        <v>96.839822335882644</v>
      </c>
      <c r="I15" s="587">
        <v>97.595151205971817</v>
      </c>
      <c r="J15" s="587">
        <v>99.178177309215926</v>
      </c>
      <c r="K15" s="587">
        <v>104.06878299207882</v>
      </c>
      <c r="L15" s="587">
        <v>101.8019099890777</v>
      </c>
      <c r="M15" s="587">
        <v>104.78638413466797</v>
      </c>
      <c r="N15" s="587">
        <v>110.07947324911611</v>
      </c>
      <c r="O15" s="587">
        <v>103.28875738651571</v>
      </c>
      <c r="P15" s="587">
        <v>103.74341572831629</v>
      </c>
      <c r="Q15" s="544">
        <v>107.08606385723431</v>
      </c>
      <c r="R15" s="544">
        <v>100.90215004552377</v>
      </c>
      <c r="S15" s="587">
        <v>102.77037046369635</v>
      </c>
      <c r="T15" s="979">
        <v>102.44704088437884</v>
      </c>
    </row>
    <row r="16" spans="1:46" s="112" customFormat="1" ht="20.25" customHeight="1" x14ac:dyDescent="0.2">
      <c r="A16" s="168" t="s">
        <v>19</v>
      </c>
      <c r="B16" s="968"/>
      <c r="C16" s="545">
        <v>32.669521494536937</v>
      </c>
      <c r="D16" s="588">
        <v>33.228243268753616</v>
      </c>
      <c r="E16" s="588">
        <v>44.500455080910164</v>
      </c>
      <c r="F16" s="588">
        <v>39.955792336865436</v>
      </c>
      <c r="G16" s="588">
        <v>38.755565633660879</v>
      </c>
      <c r="H16" s="588">
        <v>38.542228110186237</v>
      </c>
      <c r="I16" s="588">
        <v>42.092634688812268</v>
      </c>
      <c r="J16" s="588">
        <v>38.583210059171591</v>
      </c>
      <c r="K16" s="588">
        <v>45.296774676104818</v>
      </c>
      <c r="L16" s="588">
        <v>39.912335175588368</v>
      </c>
      <c r="M16" s="588">
        <v>44.569259111144952</v>
      </c>
      <c r="N16" s="588">
        <v>45.738247185004511</v>
      </c>
      <c r="O16" s="588">
        <v>44.291031555390013</v>
      </c>
      <c r="P16" s="588">
        <v>44.472304932363741</v>
      </c>
      <c r="Q16" s="545">
        <v>42.35833586094904</v>
      </c>
      <c r="R16" s="545">
        <v>43.475312888463193</v>
      </c>
      <c r="S16" s="588">
        <v>46.726005891161023</v>
      </c>
      <c r="T16" s="980">
        <v>46.185118785318025</v>
      </c>
    </row>
    <row r="17" spans="1:46" s="112" customFormat="1" ht="20.25" customHeight="1" x14ac:dyDescent="0.2">
      <c r="A17" s="443" t="s">
        <v>336</v>
      </c>
      <c r="B17" s="971"/>
      <c r="C17" s="544">
        <v>63.284218819727002</v>
      </c>
      <c r="D17" s="587">
        <v>68.270488468218687</v>
      </c>
      <c r="E17" s="587">
        <v>111.97655292311191</v>
      </c>
      <c r="F17" s="587">
        <v>105.04283865571308</v>
      </c>
      <c r="G17" s="587">
        <v>96.956951501597331</v>
      </c>
      <c r="H17" s="587">
        <v>97.510575821974683</v>
      </c>
      <c r="I17" s="587">
        <v>99.10104423391563</v>
      </c>
      <c r="J17" s="587">
        <v>94.13463667746332</v>
      </c>
      <c r="K17" s="587">
        <v>124.47217654164923</v>
      </c>
      <c r="L17" s="587">
        <v>96.825368492391817</v>
      </c>
      <c r="M17" s="587">
        <v>114.79489532883804</v>
      </c>
      <c r="N17" s="587">
        <v>138.8230607267289</v>
      </c>
      <c r="O17" s="587">
        <v>109.8367435407368</v>
      </c>
      <c r="P17" s="587">
        <v>117.85134517297809</v>
      </c>
      <c r="Q17" s="544">
        <v>127.17116948581733</v>
      </c>
      <c r="R17" s="544">
        <v>114.62308957291958</v>
      </c>
      <c r="S17" s="587">
        <v>137.84825998519744</v>
      </c>
      <c r="T17" s="979">
        <v>113.39558011955508</v>
      </c>
    </row>
    <row r="18" spans="1:46" s="112" customFormat="1" ht="20.25" customHeight="1" x14ac:dyDescent="0.2">
      <c r="A18" s="534" t="s">
        <v>335</v>
      </c>
      <c r="B18" s="972"/>
      <c r="C18" s="546">
        <v>70.792827469403065</v>
      </c>
      <c r="D18" s="589">
        <v>67.573315274281114</v>
      </c>
      <c r="E18" s="589">
        <v>105.55096967329662</v>
      </c>
      <c r="F18" s="589">
        <v>86.866506421466326</v>
      </c>
      <c r="G18" s="589">
        <v>123.3829796321871</v>
      </c>
      <c r="H18" s="589">
        <v>79.267429760665948</v>
      </c>
      <c r="I18" s="589">
        <v>93.317728100252481</v>
      </c>
      <c r="J18" s="589">
        <v>92.892590939563874</v>
      </c>
      <c r="K18" s="589">
        <v>109.92804813051048</v>
      </c>
      <c r="L18" s="589">
        <v>99.434319173525978</v>
      </c>
      <c r="M18" s="589">
        <v>108.05528892729599</v>
      </c>
      <c r="N18" s="589">
        <v>127.36480998068016</v>
      </c>
      <c r="O18" s="589">
        <v>102.18330722075268</v>
      </c>
      <c r="P18" s="589">
        <v>126.12473993169667</v>
      </c>
      <c r="Q18" s="546">
        <v>115.43989288373884</v>
      </c>
      <c r="R18" s="546">
        <v>114.83204895752922</v>
      </c>
      <c r="S18" s="589">
        <v>142.41821521182138</v>
      </c>
      <c r="T18" s="986">
        <v>121.22512428494754</v>
      </c>
    </row>
    <row r="19" spans="1:46" s="118" customFormat="1" ht="17.25" customHeight="1" x14ac:dyDescent="0.2">
      <c r="A19" s="111" t="s">
        <v>86</v>
      </c>
      <c r="B19" s="964"/>
      <c r="C19" s="998"/>
      <c r="D19" s="999"/>
      <c r="E19" s="999"/>
      <c r="F19" s="999"/>
      <c r="G19" s="999"/>
      <c r="H19" s="1000"/>
      <c r="I19" s="999"/>
      <c r="J19" s="999"/>
      <c r="K19" s="999"/>
      <c r="L19" s="999"/>
      <c r="M19" s="999"/>
      <c r="N19" s="999"/>
      <c r="O19" s="999"/>
      <c r="P19" s="999"/>
      <c r="Q19" s="999"/>
      <c r="R19" s="999"/>
      <c r="S19" s="999"/>
      <c r="T19" s="1001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  <c r="AM19" s="116"/>
      <c r="AN19" s="116"/>
      <c r="AO19" s="116"/>
      <c r="AP19" s="116"/>
      <c r="AQ19" s="116"/>
      <c r="AR19" s="116"/>
      <c r="AS19" s="116"/>
      <c r="AT19" s="116"/>
    </row>
    <row r="20" spans="1:46" s="120" customFormat="1" ht="21" customHeight="1" x14ac:dyDescent="0.2">
      <c r="A20" s="119" t="s">
        <v>82</v>
      </c>
      <c r="B20" s="169" t="s">
        <v>91</v>
      </c>
      <c r="C20" s="577">
        <v>45.2</v>
      </c>
      <c r="D20" s="78">
        <v>54.2</v>
      </c>
      <c r="E20" s="78">
        <v>49.33</v>
      </c>
      <c r="F20" s="78">
        <v>45.7</v>
      </c>
      <c r="G20" s="78">
        <v>51.59</v>
      </c>
      <c r="H20" s="79">
        <v>43.96</v>
      </c>
      <c r="I20" s="78">
        <v>48.47</v>
      </c>
      <c r="J20" s="78">
        <v>49.61</v>
      </c>
      <c r="K20" s="79">
        <v>50.68</v>
      </c>
      <c r="L20" s="79">
        <v>50.94</v>
      </c>
      <c r="M20" s="79">
        <v>49.37</v>
      </c>
      <c r="N20" s="78">
        <v>51.05</v>
      </c>
      <c r="O20" s="78">
        <v>50.12</v>
      </c>
      <c r="P20" s="78">
        <v>53.21</v>
      </c>
      <c r="Q20" s="79">
        <v>53.22</v>
      </c>
      <c r="R20" s="79">
        <v>50.1</v>
      </c>
      <c r="S20" s="78">
        <v>51.05</v>
      </c>
      <c r="T20" s="987">
        <v>46.39</v>
      </c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</row>
    <row r="21" spans="1:46" s="117" customFormat="1" ht="21" customHeight="1" x14ac:dyDescent="0.2">
      <c r="A21" s="113"/>
      <c r="B21" s="333" t="s">
        <v>89</v>
      </c>
      <c r="C21" s="80">
        <v>43.11</v>
      </c>
      <c r="D21" s="81">
        <v>49.85</v>
      </c>
      <c r="E21" s="81">
        <v>61.09</v>
      </c>
      <c r="F21" s="81">
        <v>55.05</v>
      </c>
      <c r="G21" s="81">
        <v>55.77</v>
      </c>
      <c r="H21" s="82">
        <v>47.32</v>
      </c>
      <c r="I21" s="81">
        <v>47.54</v>
      </c>
      <c r="J21" s="81">
        <v>57.3</v>
      </c>
      <c r="K21" s="82">
        <v>55.83</v>
      </c>
      <c r="L21" s="82">
        <v>58.02</v>
      </c>
      <c r="M21" s="82">
        <v>60.25</v>
      </c>
      <c r="N21" s="81">
        <v>57.33</v>
      </c>
      <c r="O21" s="81">
        <v>59.42</v>
      </c>
      <c r="P21" s="81">
        <v>66.91</v>
      </c>
      <c r="Q21" s="82">
        <v>66.05</v>
      </c>
      <c r="R21" s="82">
        <v>56.55</v>
      </c>
      <c r="S21" s="81">
        <v>55.51</v>
      </c>
      <c r="T21" s="982">
        <v>59.45</v>
      </c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</row>
    <row r="22" spans="1:46" s="117" customFormat="1" ht="21" customHeight="1" x14ac:dyDescent="0.2">
      <c r="A22" s="113"/>
      <c r="B22" s="333" t="s">
        <v>20</v>
      </c>
      <c r="C22" s="80">
        <v>45.47</v>
      </c>
      <c r="D22" s="81">
        <v>48.26</v>
      </c>
      <c r="E22" s="81">
        <v>55.71</v>
      </c>
      <c r="F22" s="81">
        <v>52.04</v>
      </c>
      <c r="G22" s="81">
        <v>55.7</v>
      </c>
      <c r="H22" s="82">
        <v>49.53</v>
      </c>
      <c r="I22" s="81">
        <v>53.77</v>
      </c>
      <c r="J22" s="81">
        <v>49.4</v>
      </c>
      <c r="K22" s="82">
        <v>55.26</v>
      </c>
      <c r="L22" s="82">
        <v>52.47</v>
      </c>
      <c r="M22" s="82">
        <v>52.42</v>
      </c>
      <c r="N22" s="81">
        <v>56.25</v>
      </c>
      <c r="O22" s="81">
        <v>56.21</v>
      </c>
      <c r="P22" s="81">
        <v>56.81</v>
      </c>
      <c r="Q22" s="82">
        <v>51.17</v>
      </c>
      <c r="R22" s="82">
        <v>52.32</v>
      </c>
      <c r="S22" s="81">
        <v>51.33</v>
      </c>
      <c r="T22" s="982">
        <v>53.75</v>
      </c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</row>
    <row r="23" spans="1:46" s="117" customFormat="1" ht="21" customHeight="1" x14ac:dyDescent="0.2">
      <c r="A23" s="141"/>
      <c r="B23" s="170" t="s">
        <v>87</v>
      </c>
      <c r="C23" s="379">
        <v>5.4212859999999985</v>
      </c>
      <c r="D23" s="380">
        <v>6.1868967000000001</v>
      </c>
      <c r="E23" s="380">
        <v>7.690231166666667</v>
      </c>
      <c r="F23" s="380">
        <v>6.9642926250000006</v>
      </c>
      <c r="G23" s="380">
        <v>7.2913990000000002</v>
      </c>
      <c r="H23" s="381">
        <v>6.0969449999999981</v>
      </c>
      <c r="I23" s="380">
        <v>6.4881159999999998</v>
      </c>
      <c r="J23" s="380">
        <v>6.9016899999999985</v>
      </c>
      <c r="K23" s="381">
        <v>7.2603530000000003</v>
      </c>
      <c r="L23" s="381">
        <v>7.1874680000000009</v>
      </c>
      <c r="M23" s="381">
        <v>7.3894389999999994</v>
      </c>
      <c r="N23" s="380">
        <v>7.4637859999999989</v>
      </c>
      <c r="O23" s="380">
        <v>7.6312709999999999</v>
      </c>
      <c r="P23" s="380">
        <v>8.2487939999999984</v>
      </c>
      <c r="Q23" s="381">
        <v>7.7611740000000005</v>
      </c>
      <c r="R23" s="381">
        <v>7.0789789999999986</v>
      </c>
      <c r="S23" s="380">
        <v>6.9131280000000004</v>
      </c>
      <c r="T23" s="983">
        <v>7.4327400000000008</v>
      </c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</row>
    <row r="24" spans="1:46" s="117" customFormat="1" ht="21" customHeight="1" x14ac:dyDescent="0.2">
      <c r="A24" s="119" t="s">
        <v>83</v>
      </c>
      <c r="B24" s="169" t="s">
        <v>91</v>
      </c>
      <c r="C24" s="577">
        <v>58.26</v>
      </c>
      <c r="D24" s="78">
        <v>61.13</v>
      </c>
      <c r="E24" s="78">
        <v>50.18</v>
      </c>
      <c r="F24" s="78">
        <v>62.25</v>
      </c>
      <c r="G24" s="78">
        <v>61.17</v>
      </c>
      <c r="H24" s="79">
        <v>54.73</v>
      </c>
      <c r="I24" s="78">
        <v>54.57</v>
      </c>
      <c r="J24" s="78">
        <v>56.84</v>
      </c>
      <c r="K24" s="79">
        <v>52.95</v>
      </c>
      <c r="L24" s="79">
        <v>58.28</v>
      </c>
      <c r="M24" s="79">
        <v>53.72</v>
      </c>
      <c r="N24" s="78">
        <v>46.45</v>
      </c>
      <c r="O24" s="78">
        <v>57.34</v>
      </c>
      <c r="P24" s="78">
        <v>57.99</v>
      </c>
      <c r="Q24" s="79">
        <v>56.71</v>
      </c>
      <c r="R24" s="79">
        <v>53.64</v>
      </c>
      <c r="S24" s="78">
        <v>54.6</v>
      </c>
      <c r="T24" s="987">
        <v>51.66</v>
      </c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</row>
    <row r="25" spans="1:46" s="117" customFormat="1" ht="21" customHeight="1" x14ac:dyDescent="0.2">
      <c r="A25" s="113"/>
      <c r="B25" s="333" t="s">
        <v>89</v>
      </c>
      <c r="C25" s="80">
        <v>66.790000000000006</v>
      </c>
      <c r="D25" s="81">
        <v>68.150000000000006</v>
      </c>
      <c r="E25" s="81">
        <v>59.42</v>
      </c>
      <c r="F25" s="81">
        <v>68.819999999999993</v>
      </c>
      <c r="G25" s="81">
        <v>68.08</v>
      </c>
      <c r="H25" s="82">
        <v>62.99</v>
      </c>
      <c r="I25" s="81">
        <v>60.6</v>
      </c>
      <c r="J25" s="81">
        <v>59.94</v>
      </c>
      <c r="K25" s="82">
        <v>64.98</v>
      </c>
      <c r="L25" s="82">
        <v>69.83</v>
      </c>
      <c r="M25" s="82">
        <v>60.97</v>
      </c>
      <c r="N25" s="81">
        <v>50.94</v>
      </c>
      <c r="O25" s="81">
        <v>63.07</v>
      </c>
      <c r="P25" s="81">
        <v>66.53</v>
      </c>
      <c r="Q25" s="82">
        <v>66.430000000000007</v>
      </c>
      <c r="R25" s="82">
        <v>54.49</v>
      </c>
      <c r="S25" s="81">
        <v>55.07</v>
      </c>
      <c r="T25" s="982">
        <v>58.39</v>
      </c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</row>
    <row r="26" spans="1:46" s="115" customFormat="1" ht="21" customHeight="1" x14ac:dyDescent="0.2">
      <c r="A26" s="141"/>
      <c r="B26" s="969" t="s">
        <v>20</v>
      </c>
      <c r="C26" s="486">
        <v>58.95</v>
      </c>
      <c r="D26" s="477">
        <v>55.51</v>
      </c>
      <c r="E26" s="477">
        <v>50.59</v>
      </c>
      <c r="F26" s="477">
        <v>58.51</v>
      </c>
      <c r="G26" s="477">
        <v>69.48</v>
      </c>
      <c r="H26" s="990">
        <v>53.89</v>
      </c>
      <c r="I26" s="477">
        <v>53.74</v>
      </c>
      <c r="J26" s="477">
        <v>51.41</v>
      </c>
      <c r="K26" s="990">
        <v>54.32</v>
      </c>
      <c r="L26" s="990">
        <v>60.57</v>
      </c>
      <c r="M26" s="990">
        <v>52.91</v>
      </c>
      <c r="N26" s="477">
        <v>47.1</v>
      </c>
      <c r="O26" s="477">
        <v>55.78</v>
      </c>
      <c r="P26" s="477">
        <v>63.91</v>
      </c>
      <c r="Q26" s="990">
        <v>56.06</v>
      </c>
      <c r="R26" s="990">
        <v>43.39</v>
      </c>
      <c r="S26" s="477">
        <v>55.42</v>
      </c>
      <c r="T26" s="984">
        <v>50.1</v>
      </c>
    </row>
    <row r="27" spans="1:46" s="115" customFormat="1" ht="21" customHeight="1" x14ac:dyDescent="0.2">
      <c r="A27" s="141"/>
      <c r="B27" s="170" t="s">
        <v>87</v>
      </c>
      <c r="C27" s="382">
        <v>7.8772189999999993</v>
      </c>
      <c r="D27" s="383">
        <v>7.572253285714285</v>
      </c>
      <c r="E27" s="383">
        <v>6.3137644999999987</v>
      </c>
      <c r="F27" s="383">
        <v>7.9842784999999976</v>
      </c>
      <c r="G27" s="383">
        <v>8.9220000000000006</v>
      </c>
      <c r="H27" s="991">
        <v>6.9763759999999975</v>
      </c>
      <c r="I27" s="383">
        <v>6.7313929999999997</v>
      </c>
      <c r="J27" s="383">
        <v>6.5039496111111097</v>
      </c>
      <c r="K27" s="991">
        <v>7.2097849999999992</v>
      </c>
      <c r="L27" s="991">
        <v>8.3229098571428572</v>
      </c>
      <c r="M27" s="991">
        <v>6.7208254347826069</v>
      </c>
      <c r="N27" s="383">
        <v>5.1592579999999986</v>
      </c>
      <c r="O27" s="383">
        <v>7.1663824999999983</v>
      </c>
      <c r="P27" s="383">
        <v>8.2842379999999984</v>
      </c>
      <c r="Q27" s="991">
        <v>7.5174604999999994</v>
      </c>
      <c r="R27" s="991">
        <v>5.143825999999998</v>
      </c>
      <c r="S27" s="383">
        <v>6.3600605000000003</v>
      </c>
      <c r="T27" s="985">
        <v>6.201924434782609</v>
      </c>
    </row>
    <row r="28" spans="1:46" s="121" customFormat="1" ht="21" customHeight="1" x14ac:dyDescent="0.2">
      <c r="A28" s="111" t="s">
        <v>88</v>
      </c>
      <c r="B28" s="171"/>
      <c r="C28" s="998"/>
      <c r="D28" s="999"/>
      <c r="E28" s="999"/>
      <c r="F28" s="999"/>
      <c r="G28" s="999"/>
      <c r="H28" s="1000"/>
      <c r="I28" s="999"/>
      <c r="J28" s="999"/>
      <c r="K28" s="999"/>
      <c r="L28" s="999"/>
      <c r="M28" s="999"/>
      <c r="N28" s="999"/>
      <c r="O28" s="999"/>
      <c r="P28" s="999"/>
      <c r="Q28" s="999"/>
      <c r="R28" s="999"/>
      <c r="S28" s="999"/>
      <c r="T28" s="1001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</row>
    <row r="29" spans="1:46" s="123" customFormat="1" ht="21" customHeight="1" x14ac:dyDescent="0.2">
      <c r="A29" s="122" t="s">
        <v>83</v>
      </c>
      <c r="B29" s="169" t="s">
        <v>91</v>
      </c>
      <c r="C29" s="577">
        <v>39.799999999999997</v>
      </c>
      <c r="D29" s="78">
        <v>38.54</v>
      </c>
      <c r="E29" s="78">
        <v>33.25</v>
      </c>
      <c r="F29" s="78">
        <v>38.700000000000003</v>
      </c>
      <c r="G29" s="78">
        <v>33.200000000000003</v>
      </c>
      <c r="H29" s="79">
        <v>30.65</v>
      </c>
      <c r="I29" s="78">
        <v>32.700000000000003</v>
      </c>
      <c r="J29" s="78">
        <v>33.590000000000003</v>
      </c>
      <c r="K29" s="79">
        <v>36.17</v>
      </c>
      <c r="L29" s="79">
        <v>33.92</v>
      </c>
      <c r="M29" s="79">
        <v>33.590000000000003</v>
      </c>
      <c r="N29" s="78">
        <v>29.2</v>
      </c>
      <c r="O29" s="78">
        <v>31.12</v>
      </c>
      <c r="P29" s="78">
        <v>30.48</v>
      </c>
      <c r="Q29" s="79">
        <v>34.380000000000003</v>
      </c>
      <c r="R29" s="79">
        <v>30.18</v>
      </c>
      <c r="S29" s="78">
        <v>24.96</v>
      </c>
      <c r="T29" s="987">
        <v>27.98</v>
      </c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</row>
    <row r="30" spans="1:46" s="125" customFormat="1" ht="21" customHeight="1" x14ac:dyDescent="0.2">
      <c r="A30" s="124"/>
      <c r="B30" s="333" t="s">
        <v>89</v>
      </c>
      <c r="C30" s="80">
        <v>63.06</v>
      </c>
      <c r="D30" s="81">
        <v>69.63</v>
      </c>
      <c r="E30" s="81">
        <v>54.73</v>
      </c>
      <c r="F30" s="81">
        <v>63.27</v>
      </c>
      <c r="G30" s="81">
        <v>57.54</v>
      </c>
      <c r="H30" s="82">
        <v>61.31</v>
      </c>
      <c r="I30" s="81">
        <v>58.18</v>
      </c>
      <c r="J30" s="81">
        <v>56.99</v>
      </c>
      <c r="K30" s="82">
        <v>55.81</v>
      </c>
      <c r="L30" s="82">
        <v>60.88</v>
      </c>
      <c r="M30" s="82">
        <v>56.66</v>
      </c>
      <c r="N30" s="81">
        <v>43.64</v>
      </c>
      <c r="O30" s="81">
        <v>59.51</v>
      </c>
      <c r="P30" s="81">
        <v>54.92</v>
      </c>
      <c r="Q30" s="82">
        <v>47.54</v>
      </c>
      <c r="R30" s="82">
        <v>52.48</v>
      </c>
      <c r="S30" s="81">
        <v>49.38</v>
      </c>
      <c r="T30" s="982">
        <v>52.04</v>
      </c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</row>
    <row r="31" spans="1:46" s="125" customFormat="1" ht="21" customHeight="1" x14ac:dyDescent="0.2">
      <c r="A31" s="122"/>
      <c r="B31" s="334" t="s">
        <v>20</v>
      </c>
      <c r="C31" s="80">
        <v>52.48</v>
      </c>
      <c r="D31" s="81">
        <v>49.16</v>
      </c>
      <c r="E31" s="81">
        <v>50.23</v>
      </c>
      <c r="F31" s="81">
        <v>52.45</v>
      </c>
      <c r="G31" s="81">
        <v>55.58</v>
      </c>
      <c r="H31" s="82">
        <v>49.29</v>
      </c>
      <c r="I31" s="81">
        <v>50.5</v>
      </c>
      <c r="J31" s="81">
        <v>47.45</v>
      </c>
      <c r="K31" s="82">
        <v>50.43</v>
      </c>
      <c r="L31" s="82">
        <v>50.99</v>
      </c>
      <c r="M31" s="82">
        <v>47.81</v>
      </c>
      <c r="N31" s="81">
        <v>43.88</v>
      </c>
      <c r="O31" s="81">
        <v>47.57</v>
      </c>
      <c r="P31" s="81">
        <v>49.53</v>
      </c>
      <c r="Q31" s="82">
        <v>47.54</v>
      </c>
      <c r="R31" s="82">
        <v>41.76</v>
      </c>
      <c r="S31" s="81">
        <v>43.89</v>
      </c>
      <c r="T31" s="982">
        <v>45.69</v>
      </c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</row>
    <row r="32" spans="1:46" s="125" customFormat="1" ht="21" customHeight="1" x14ac:dyDescent="0.2">
      <c r="A32" s="148"/>
      <c r="B32" s="170" t="s">
        <v>87</v>
      </c>
      <c r="C32" s="379">
        <v>8.5934220408163249</v>
      </c>
      <c r="D32" s="380">
        <v>8.8137832380952368</v>
      </c>
      <c r="E32" s="380">
        <v>7.0731840000000004</v>
      </c>
      <c r="F32" s="380">
        <v>8.6928688888888921</v>
      </c>
      <c r="G32" s="380">
        <v>8.1780479999999969</v>
      </c>
      <c r="H32" s="381">
        <v>7.8368399999999978</v>
      </c>
      <c r="I32" s="380">
        <v>7.5768719999999989</v>
      </c>
      <c r="J32" s="380">
        <v>7.0984586666666649</v>
      </c>
      <c r="K32" s="381">
        <v>7.2464960000000014</v>
      </c>
      <c r="L32" s="381">
        <v>8.0725649523809544</v>
      </c>
      <c r="M32" s="381">
        <v>7.0589375652173887</v>
      </c>
      <c r="N32" s="380">
        <v>4.7118080000000004</v>
      </c>
      <c r="O32" s="380">
        <v>7.5757887999999989</v>
      </c>
      <c r="P32" s="380">
        <v>7.0041299999999991</v>
      </c>
      <c r="Q32" s="381">
        <v>5.7354319999999985</v>
      </c>
      <c r="R32" s="381">
        <v>5.7105626122448969</v>
      </c>
      <c r="S32" s="380">
        <v>5.4903580000000014</v>
      </c>
      <c r="T32" s="983">
        <v>6.1316241739130417</v>
      </c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</row>
    <row r="33" spans="1:46" s="16" customFormat="1" ht="9.75" customHeight="1" x14ac:dyDescent="0.2">
      <c r="A33" s="1005"/>
      <c r="B33" s="1006"/>
      <c r="C33" s="998"/>
      <c r="D33" s="999"/>
      <c r="E33" s="999"/>
      <c r="F33" s="999"/>
      <c r="G33" s="999"/>
      <c r="H33" s="999"/>
      <c r="I33" s="999"/>
      <c r="J33" s="999"/>
      <c r="K33" s="999"/>
      <c r="L33" s="999"/>
      <c r="M33" s="999"/>
      <c r="N33" s="999"/>
      <c r="O33" s="999"/>
      <c r="P33" s="999"/>
      <c r="Q33" s="999"/>
      <c r="R33" s="999"/>
      <c r="S33" s="999"/>
      <c r="T33" s="1001"/>
    </row>
    <row r="34" spans="1:46" s="115" customFormat="1" ht="17.25" customHeight="1" x14ac:dyDescent="0.2">
      <c r="A34" s="100"/>
      <c r="B34" s="337" t="s">
        <v>7</v>
      </c>
      <c r="C34" s="579">
        <v>2001</v>
      </c>
      <c r="D34" s="579">
        <v>1969</v>
      </c>
      <c r="E34" s="579">
        <v>1994</v>
      </c>
      <c r="F34" s="579">
        <v>2019</v>
      </c>
      <c r="G34" s="579">
        <v>2021</v>
      </c>
      <c r="H34" s="579">
        <v>2013</v>
      </c>
      <c r="I34" s="579">
        <v>2011</v>
      </c>
      <c r="J34" s="579">
        <v>1997</v>
      </c>
      <c r="K34" s="579">
        <v>2018</v>
      </c>
      <c r="L34" s="579">
        <v>2003</v>
      </c>
      <c r="M34" s="579">
        <v>2015</v>
      </c>
      <c r="N34" s="579">
        <v>2021</v>
      </c>
      <c r="O34" s="579">
        <v>2009</v>
      </c>
      <c r="P34" s="579">
        <v>2001</v>
      </c>
      <c r="Q34" s="526">
        <v>2022</v>
      </c>
      <c r="R34" s="579">
        <v>1981</v>
      </c>
      <c r="S34" s="579">
        <v>2021</v>
      </c>
      <c r="T34" s="981">
        <v>2015</v>
      </c>
    </row>
    <row r="35" spans="1:46" s="115" customFormat="1" ht="17.25" customHeight="1" x14ac:dyDescent="0.2">
      <c r="A35" s="100"/>
      <c r="B35" s="1215" t="s">
        <v>354</v>
      </c>
      <c r="C35" s="1222" t="s">
        <v>363</v>
      </c>
      <c r="D35" s="1222" t="s">
        <v>363</v>
      </c>
      <c r="E35" s="1222" t="s">
        <v>363</v>
      </c>
      <c r="F35" s="1222" t="s">
        <v>365</v>
      </c>
      <c r="G35" s="1222" t="s">
        <v>372</v>
      </c>
      <c r="H35" s="1222" t="s">
        <v>365</v>
      </c>
      <c r="I35" s="1222" t="s">
        <v>365</v>
      </c>
      <c r="J35" s="1222" t="s">
        <v>363</v>
      </c>
      <c r="K35" s="1222" t="s">
        <v>363</v>
      </c>
      <c r="L35" s="1222" t="s">
        <v>373</v>
      </c>
      <c r="M35" s="1222" t="s">
        <v>365</v>
      </c>
      <c r="N35" s="1222" t="s">
        <v>363</v>
      </c>
      <c r="O35" s="1222" t="s">
        <v>356</v>
      </c>
      <c r="P35" s="1222" t="s">
        <v>373</v>
      </c>
      <c r="Q35" s="1222" t="s">
        <v>372</v>
      </c>
      <c r="R35" s="1222" t="s">
        <v>365</v>
      </c>
      <c r="S35" s="1222" t="s">
        <v>374</v>
      </c>
      <c r="T35" s="1222" t="s">
        <v>356</v>
      </c>
    </row>
    <row r="36" spans="1:46" s="115" customFormat="1" ht="17.25" customHeight="1" x14ac:dyDescent="0.2">
      <c r="A36" s="100"/>
      <c r="B36" s="1215" t="s">
        <v>355</v>
      </c>
      <c r="C36" s="1222" t="s">
        <v>368</v>
      </c>
      <c r="D36" s="1222" t="s">
        <v>367</v>
      </c>
      <c r="E36" s="1222" t="s">
        <v>368</v>
      </c>
      <c r="F36" s="1222" t="s">
        <v>366</v>
      </c>
      <c r="G36" s="1222" t="s">
        <v>359</v>
      </c>
      <c r="H36" s="1222" t="s">
        <v>359</v>
      </c>
      <c r="I36" s="1222" t="s">
        <v>359</v>
      </c>
      <c r="J36" s="1222" t="s">
        <v>368</v>
      </c>
      <c r="K36" s="1222" t="s">
        <v>368</v>
      </c>
      <c r="L36" s="1222" t="s">
        <v>366</v>
      </c>
      <c r="M36" s="1224" t="s">
        <v>359</v>
      </c>
      <c r="N36" s="1222" t="s">
        <v>368</v>
      </c>
      <c r="O36" s="1222" t="s">
        <v>366</v>
      </c>
      <c r="P36" s="1224" t="s">
        <v>367</v>
      </c>
      <c r="Q36" s="1224" t="s">
        <v>375</v>
      </c>
      <c r="R36" s="1222" t="s">
        <v>368</v>
      </c>
      <c r="S36" s="1222" t="s">
        <v>366</v>
      </c>
      <c r="T36" s="1222" t="s">
        <v>359</v>
      </c>
    </row>
    <row r="37" spans="1:46" s="121" customFormat="1" ht="17.25" customHeight="1" x14ac:dyDescent="0.2">
      <c r="A37" s="126" t="s">
        <v>51</v>
      </c>
      <c r="B37" s="973"/>
      <c r="C37" s="998"/>
      <c r="D37" s="999"/>
      <c r="E37" s="999"/>
      <c r="F37" s="999"/>
      <c r="G37" s="999"/>
      <c r="H37" s="999"/>
      <c r="I37" s="999"/>
      <c r="J37" s="999"/>
      <c r="K37" s="999"/>
      <c r="L37" s="999"/>
      <c r="M37" s="999"/>
      <c r="N37" s="999"/>
      <c r="O37" s="999"/>
      <c r="P37" s="999"/>
      <c r="Q37" s="999"/>
      <c r="R37" s="999"/>
      <c r="S37" s="999"/>
      <c r="T37" s="1001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</row>
    <row r="38" spans="1:46" s="16" customFormat="1" ht="19.899999999999999" customHeight="1" x14ac:dyDescent="0.2">
      <c r="A38" s="974" t="s">
        <v>26</v>
      </c>
      <c r="B38" s="975"/>
      <c r="C38" s="84">
        <v>23</v>
      </c>
      <c r="D38" s="85">
        <v>10</v>
      </c>
      <c r="E38" s="85">
        <v>12</v>
      </c>
      <c r="F38" s="85">
        <v>9</v>
      </c>
      <c r="G38" s="85">
        <v>5</v>
      </c>
      <c r="H38" s="84">
        <v>11</v>
      </c>
      <c r="I38" s="85">
        <v>10</v>
      </c>
      <c r="J38" s="85">
        <v>25</v>
      </c>
      <c r="K38" s="84">
        <v>11</v>
      </c>
      <c r="L38" s="84">
        <v>10</v>
      </c>
      <c r="M38" s="84">
        <v>11</v>
      </c>
      <c r="N38" s="85">
        <v>5</v>
      </c>
      <c r="O38" s="85">
        <v>14</v>
      </c>
      <c r="P38" s="85">
        <v>10</v>
      </c>
      <c r="Q38" s="84">
        <v>5</v>
      </c>
      <c r="R38" s="84">
        <v>23</v>
      </c>
      <c r="S38" s="85">
        <v>5</v>
      </c>
      <c r="T38" s="988">
        <v>11</v>
      </c>
    </row>
    <row r="39" spans="1:46" s="127" customFormat="1" ht="19.899999999999999" customHeight="1" thickBot="1" x14ac:dyDescent="0.25">
      <c r="A39" s="223" t="s">
        <v>27</v>
      </c>
      <c r="B39" s="1007"/>
      <c r="C39" s="224">
        <v>22</v>
      </c>
      <c r="D39" s="225">
        <v>11</v>
      </c>
      <c r="E39" s="225">
        <v>13</v>
      </c>
      <c r="F39" s="225">
        <v>7</v>
      </c>
      <c r="G39" s="225">
        <v>5</v>
      </c>
      <c r="H39" s="224">
        <v>11</v>
      </c>
      <c r="I39" s="225">
        <v>10</v>
      </c>
      <c r="J39" s="225">
        <v>24</v>
      </c>
      <c r="K39" s="224">
        <v>11</v>
      </c>
      <c r="L39" s="224">
        <v>10</v>
      </c>
      <c r="M39" s="224">
        <v>11</v>
      </c>
      <c r="N39" s="225">
        <v>5</v>
      </c>
      <c r="O39" s="225">
        <v>13</v>
      </c>
      <c r="P39" s="225">
        <v>10</v>
      </c>
      <c r="Q39" s="224">
        <v>5</v>
      </c>
      <c r="R39" s="224">
        <v>22</v>
      </c>
      <c r="S39" s="225">
        <v>5</v>
      </c>
      <c r="T39" s="989">
        <v>11</v>
      </c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</row>
    <row r="40" spans="1:46" customFormat="1" ht="12" customHeight="1" x14ac:dyDescent="0.2">
      <c r="B40" s="128"/>
      <c r="C40" s="222"/>
      <c r="D40" s="222"/>
      <c r="E40" s="222"/>
      <c r="F40" s="222"/>
      <c r="G40" s="222"/>
      <c r="H40" s="222"/>
      <c r="I40" s="222"/>
      <c r="J40" s="222"/>
      <c r="K40" s="222"/>
      <c r="L40" s="222"/>
      <c r="M40" s="222"/>
      <c r="N40" s="222"/>
      <c r="O40" s="222"/>
      <c r="P40" s="222"/>
      <c r="Q40" s="222"/>
      <c r="R40" s="222"/>
      <c r="S40" s="222"/>
      <c r="T40" s="222"/>
      <c r="U40" s="222"/>
    </row>
    <row r="41" spans="1:46" x14ac:dyDescent="0.2">
      <c r="A41" s="1"/>
      <c r="P41" s="8"/>
      <c r="Q41" s="8"/>
      <c r="U41" s="7"/>
    </row>
    <row r="42" spans="1:46" x14ac:dyDescent="0.2">
      <c r="C42" s="349"/>
      <c r="D42" s="349"/>
      <c r="F42" s="349"/>
      <c r="H42" s="8"/>
      <c r="J42" s="8"/>
      <c r="O42" s="8"/>
      <c r="P42" s="8"/>
      <c r="Q42" s="8"/>
      <c r="U42" s="8"/>
    </row>
    <row r="43" spans="1:46" x14ac:dyDescent="0.2">
      <c r="C43" s="349"/>
      <c r="P43" s="8"/>
      <c r="Q43" s="8"/>
      <c r="U43" s="7"/>
    </row>
    <row r="44" spans="1:46" x14ac:dyDescent="0.2">
      <c r="C44" s="349"/>
      <c r="P44" s="8"/>
      <c r="Q44" s="8"/>
      <c r="U44" s="7"/>
    </row>
    <row r="45" spans="1:46" x14ac:dyDescent="0.2">
      <c r="P45" s="8"/>
      <c r="Q45" s="8"/>
      <c r="U45" s="7"/>
    </row>
    <row r="46" spans="1:46" x14ac:dyDescent="0.2">
      <c r="P46" s="8"/>
      <c r="Q46" s="8"/>
      <c r="U46" s="7"/>
    </row>
    <row r="47" spans="1:46" x14ac:dyDescent="0.2">
      <c r="P47" s="8"/>
      <c r="Q47" s="8"/>
      <c r="U47" s="7"/>
    </row>
    <row r="48" spans="1:46" x14ac:dyDescent="0.2">
      <c r="P48" s="8"/>
      <c r="Q48" s="8"/>
      <c r="U48" s="7"/>
    </row>
    <row r="49" spans="16:21" x14ac:dyDescent="0.2">
      <c r="P49" s="8"/>
      <c r="Q49" s="8"/>
      <c r="U49" s="7"/>
    </row>
    <row r="50" spans="16:21" x14ac:dyDescent="0.2">
      <c r="P50" s="8"/>
      <c r="Q50" s="8"/>
      <c r="U50" s="7"/>
    </row>
    <row r="51" spans="16:21" x14ac:dyDescent="0.2">
      <c r="P51" s="8"/>
      <c r="Q51" s="8"/>
      <c r="U51" s="7"/>
    </row>
    <row r="52" spans="16:21" x14ac:dyDescent="0.2">
      <c r="P52" s="8"/>
      <c r="Q52" s="8"/>
      <c r="U52" s="7"/>
    </row>
    <row r="53" spans="16:21" x14ac:dyDescent="0.2">
      <c r="P53" s="8"/>
      <c r="Q53" s="8"/>
      <c r="U53" s="7"/>
    </row>
    <row r="54" spans="16:21" x14ac:dyDescent="0.2">
      <c r="P54" s="8"/>
      <c r="Q54" s="8"/>
      <c r="U54" s="7"/>
    </row>
    <row r="55" spans="16:21" x14ac:dyDescent="0.2">
      <c r="P55" s="8"/>
      <c r="Q55" s="8"/>
      <c r="U55" s="7"/>
    </row>
    <row r="56" spans="16:21" x14ac:dyDescent="0.2">
      <c r="P56" s="8"/>
      <c r="Q56" s="8"/>
      <c r="U56" s="7"/>
    </row>
    <row r="57" spans="16:21" x14ac:dyDescent="0.2">
      <c r="P57" s="8"/>
      <c r="Q57" s="8"/>
      <c r="U57" s="7"/>
    </row>
    <row r="58" spans="16:21" x14ac:dyDescent="0.2">
      <c r="P58" s="8"/>
      <c r="Q58" s="8"/>
      <c r="U58" s="7"/>
    </row>
    <row r="59" spans="16:21" x14ac:dyDescent="0.2">
      <c r="P59" s="8"/>
      <c r="Q59" s="8"/>
      <c r="U59" s="7"/>
    </row>
    <row r="60" spans="16:21" x14ac:dyDescent="0.2">
      <c r="P60" s="8"/>
      <c r="Q60" s="8"/>
      <c r="U60" s="7"/>
    </row>
    <row r="61" spans="16:21" x14ac:dyDescent="0.2">
      <c r="P61" s="8"/>
      <c r="Q61" s="8"/>
      <c r="U61" s="7"/>
    </row>
    <row r="62" spans="16:21" x14ac:dyDescent="0.2">
      <c r="P62" s="8"/>
      <c r="Q62" s="8"/>
      <c r="U62" s="7"/>
    </row>
    <row r="63" spans="16:21" x14ac:dyDescent="0.2">
      <c r="P63" s="8"/>
      <c r="Q63" s="8"/>
      <c r="U63" s="7"/>
    </row>
    <row r="64" spans="16:21" x14ac:dyDescent="0.2">
      <c r="P64" s="8"/>
      <c r="Q64" s="8"/>
      <c r="U64" s="7"/>
    </row>
    <row r="65" spans="16:21" x14ac:dyDescent="0.2">
      <c r="P65" s="8"/>
      <c r="Q65" s="8"/>
      <c r="U65" s="7"/>
    </row>
    <row r="66" spans="16:21" x14ac:dyDescent="0.2">
      <c r="P66" s="8"/>
      <c r="Q66" s="8"/>
      <c r="U66" s="7"/>
    </row>
    <row r="67" spans="16:21" x14ac:dyDescent="0.2">
      <c r="P67" s="8"/>
      <c r="Q67" s="8"/>
      <c r="U67" s="7"/>
    </row>
    <row r="68" spans="16:21" x14ac:dyDescent="0.2">
      <c r="P68" s="8"/>
      <c r="Q68" s="8"/>
      <c r="U68" s="7"/>
    </row>
    <row r="69" spans="16:21" x14ac:dyDescent="0.2">
      <c r="P69" s="8"/>
      <c r="Q69" s="8"/>
      <c r="U69" s="7"/>
    </row>
    <row r="70" spans="16:21" x14ac:dyDescent="0.2">
      <c r="P70" s="8"/>
      <c r="Q70" s="8"/>
      <c r="U70" s="7"/>
    </row>
    <row r="71" spans="16:21" x14ac:dyDescent="0.2">
      <c r="P71" s="8"/>
      <c r="Q71" s="8"/>
      <c r="U71" s="7"/>
    </row>
    <row r="72" spans="16:21" x14ac:dyDescent="0.2">
      <c r="P72" s="8"/>
      <c r="Q72" s="8"/>
      <c r="U72" s="7"/>
    </row>
    <row r="73" spans="16:21" x14ac:dyDescent="0.2">
      <c r="P73" s="8"/>
      <c r="Q73" s="8"/>
      <c r="U73" s="7"/>
    </row>
    <row r="74" spans="16:21" x14ac:dyDescent="0.2">
      <c r="P74" s="8"/>
      <c r="Q74" s="8"/>
      <c r="U74" s="7"/>
    </row>
    <row r="75" spans="16:21" x14ac:dyDescent="0.2">
      <c r="P75" s="8"/>
      <c r="Q75" s="8"/>
      <c r="U75" s="7"/>
    </row>
    <row r="76" spans="16:21" x14ac:dyDescent="0.2">
      <c r="P76" s="8"/>
      <c r="Q76" s="8"/>
      <c r="U76" s="7"/>
    </row>
    <row r="77" spans="16:21" x14ac:dyDescent="0.2">
      <c r="P77" s="8"/>
      <c r="Q77" s="8"/>
      <c r="U77" s="7"/>
    </row>
    <row r="78" spans="16:21" x14ac:dyDescent="0.2">
      <c r="P78" s="8"/>
      <c r="Q78" s="8"/>
      <c r="U78" s="7"/>
    </row>
    <row r="79" spans="16:21" x14ac:dyDescent="0.2">
      <c r="P79" s="8"/>
      <c r="Q79" s="8"/>
      <c r="U79" s="7"/>
    </row>
    <row r="80" spans="16:21" x14ac:dyDescent="0.2">
      <c r="P80" s="8"/>
      <c r="Q80" s="8"/>
      <c r="U80" s="7"/>
    </row>
    <row r="81" spans="16:21" x14ac:dyDescent="0.2">
      <c r="P81" s="8"/>
      <c r="Q81" s="8"/>
      <c r="U81" s="7"/>
    </row>
    <row r="82" spans="16:21" x14ac:dyDescent="0.2">
      <c r="P82" s="8"/>
      <c r="Q82" s="8"/>
      <c r="U82" s="7"/>
    </row>
    <row r="83" spans="16:21" x14ac:dyDescent="0.2">
      <c r="P83" s="8"/>
      <c r="Q83" s="8"/>
      <c r="U83" s="7"/>
    </row>
    <row r="84" spans="16:21" x14ac:dyDescent="0.2">
      <c r="U84" s="7"/>
    </row>
    <row r="85" spans="16:21" x14ac:dyDescent="0.2">
      <c r="U85" s="7"/>
    </row>
    <row r="86" spans="16:21" x14ac:dyDescent="0.2">
      <c r="U86" s="7"/>
    </row>
    <row r="87" spans="16:21" x14ac:dyDescent="0.2">
      <c r="U87" s="7"/>
    </row>
    <row r="88" spans="16:21" x14ac:dyDescent="0.2">
      <c r="U88" s="7"/>
    </row>
    <row r="89" spans="16:21" x14ac:dyDescent="0.2">
      <c r="U89" s="7"/>
    </row>
    <row r="90" spans="16:21" x14ac:dyDescent="0.2">
      <c r="U90" s="7"/>
    </row>
    <row r="91" spans="16:21" x14ac:dyDescent="0.2">
      <c r="U91" s="7"/>
    </row>
    <row r="92" spans="16:21" x14ac:dyDescent="0.2">
      <c r="U92" s="7"/>
    </row>
    <row r="93" spans="16:21" x14ac:dyDescent="0.2">
      <c r="U93" s="7"/>
    </row>
    <row r="94" spans="16:21" x14ac:dyDescent="0.2">
      <c r="U94" s="7"/>
    </row>
    <row r="95" spans="16:21" x14ac:dyDescent="0.2">
      <c r="U95" s="7"/>
    </row>
    <row r="96" spans="16:21" x14ac:dyDescent="0.2">
      <c r="U96" s="7"/>
    </row>
    <row r="97" spans="21:21" x14ac:dyDescent="0.2">
      <c r="U97" s="7"/>
    </row>
    <row r="98" spans="21:21" x14ac:dyDescent="0.2">
      <c r="U98" s="7"/>
    </row>
    <row r="99" spans="21:21" x14ac:dyDescent="0.2">
      <c r="U99" s="7"/>
    </row>
    <row r="100" spans="21:21" x14ac:dyDescent="0.2">
      <c r="U100" s="7"/>
    </row>
    <row r="101" spans="21:21" x14ac:dyDescent="0.2">
      <c r="U101" s="7"/>
    </row>
    <row r="102" spans="21:21" x14ac:dyDescent="0.2">
      <c r="U102" s="7"/>
    </row>
    <row r="103" spans="21:21" x14ac:dyDescent="0.2">
      <c r="U103" s="7"/>
    </row>
    <row r="104" spans="21:21" x14ac:dyDescent="0.2">
      <c r="U104" s="7"/>
    </row>
    <row r="105" spans="21:21" x14ac:dyDescent="0.2">
      <c r="U105" s="7"/>
    </row>
    <row r="106" spans="21:21" x14ac:dyDescent="0.2">
      <c r="U106" s="7"/>
    </row>
    <row r="107" spans="21:21" x14ac:dyDescent="0.2">
      <c r="U107" s="7"/>
    </row>
    <row r="108" spans="21:21" x14ac:dyDescent="0.2">
      <c r="U108" s="7"/>
    </row>
    <row r="109" spans="21:21" x14ac:dyDescent="0.2">
      <c r="U109" s="7"/>
    </row>
    <row r="110" spans="21:21" x14ac:dyDescent="0.2">
      <c r="U110" s="7"/>
    </row>
    <row r="111" spans="21:21" x14ac:dyDescent="0.2">
      <c r="U111" s="7"/>
    </row>
    <row r="112" spans="21:21" x14ac:dyDescent="0.2">
      <c r="U112" s="7"/>
    </row>
    <row r="113" spans="21:21" x14ac:dyDescent="0.2">
      <c r="U113" s="7"/>
    </row>
    <row r="114" spans="21:21" x14ac:dyDescent="0.2">
      <c r="U114" s="7"/>
    </row>
    <row r="115" spans="21:21" x14ac:dyDescent="0.2">
      <c r="U115" s="7"/>
    </row>
    <row r="116" spans="21:21" x14ac:dyDescent="0.2">
      <c r="U116" s="7"/>
    </row>
    <row r="117" spans="21:21" x14ac:dyDescent="0.2">
      <c r="U117" s="7"/>
    </row>
    <row r="118" spans="21:21" x14ac:dyDescent="0.2">
      <c r="U118" s="7"/>
    </row>
    <row r="119" spans="21:21" x14ac:dyDescent="0.2">
      <c r="U119" s="7"/>
    </row>
    <row r="120" spans="21:21" x14ac:dyDescent="0.2">
      <c r="U120" s="7"/>
    </row>
    <row r="121" spans="21:21" x14ac:dyDescent="0.2">
      <c r="U121" s="7"/>
    </row>
    <row r="122" spans="21:21" x14ac:dyDescent="0.2">
      <c r="U122" s="7"/>
    </row>
    <row r="123" spans="21:21" x14ac:dyDescent="0.2">
      <c r="U123" s="7"/>
    </row>
    <row r="124" spans="21:21" x14ac:dyDescent="0.2">
      <c r="U124" s="7"/>
    </row>
    <row r="125" spans="21:21" x14ac:dyDescent="0.2">
      <c r="U125" s="7"/>
    </row>
    <row r="126" spans="21:21" x14ac:dyDescent="0.2">
      <c r="U126" s="7"/>
    </row>
    <row r="127" spans="21:21" x14ac:dyDescent="0.2">
      <c r="U127" s="7"/>
    </row>
    <row r="128" spans="21:21" x14ac:dyDescent="0.2">
      <c r="U128" s="7"/>
    </row>
    <row r="129" spans="21:21" x14ac:dyDescent="0.2">
      <c r="U129" s="7"/>
    </row>
    <row r="130" spans="21:21" x14ac:dyDescent="0.2">
      <c r="U130" s="7"/>
    </row>
    <row r="131" spans="21:21" x14ac:dyDescent="0.2">
      <c r="U131" s="7"/>
    </row>
    <row r="132" spans="21:21" x14ac:dyDescent="0.2">
      <c r="U132" s="7"/>
    </row>
    <row r="133" spans="21:21" x14ac:dyDescent="0.2">
      <c r="U133" s="7"/>
    </row>
    <row r="134" spans="21:21" x14ac:dyDescent="0.2">
      <c r="U134" s="7"/>
    </row>
    <row r="135" spans="21:21" x14ac:dyDescent="0.2">
      <c r="U135" s="7"/>
    </row>
    <row r="136" spans="21:21" x14ac:dyDescent="0.2">
      <c r="U136" s="7"/>
    </row>
    <row r="137" spans="21:21" x14ac:dyDescent="0.2">
      <c r="U137" s="7"/>
    </row>
    <row r="138" spans="21:21" x14ac:dyDescent="0.2">
      <c r="U138" s="7"/>
    </row>
    <row r="139" spans="21:21" x14ac:dyDescent="0.2">
      <c r="U139" s="7"/>
    </row>
    <row r="140" spans="21:21" x14ac:dyDescent="0.2">
      <c r="U140" s="7"/>
    </row>
    <row r="141" spans="21:21" x14ac:dyDescent="0.2">
      <c r="U141" s="7"/>
    </row>
    <row r="142" spans="21:21" x14ac:dyDescent="0.2">
      <c r="U142" s="7"/>
    </row>
    <row r="143" spans="21:21" x14ac:dyDescent="0.2">
      <c r="U143" s="7"/>
    </row>
    <row r="144" spans="21:21" x14ac:dyDescent="0.2">
      <c r="U144" s="7"/>
    </row>
    <row r="145" spans="21:21" x14ac:dyDescent="0.2">
      <c r="U145" s="7"/>
    </row>
    <row r="146" spans="21:21" x14ac:dyDescent="0.2">
      <c r="U146" s="7"/>
    </row>
    <row r="147" spans="21:21" x14ac:dyDescent="0.2">
      <c r="U147" s="7"/>
    </row>
    <row r="148" spans="21:21" x14ac:dyDescent="0.2">
      <c r="U148" s="7"/>
    </row>
    <row r="149" spans="21:21" x14ac:dyDescent="0.2">
      <c r="U149" s="7"/>
    </row>
    <row r="150" spans="21:21" x14ac:dyDescent="0.2">
      <c r="U150" s="7"/>
    </row>
    <row r="151" spans="21:21" x14ac:dyDescent="0.2">
      <c r="U151" s="7"/>
    </row>
    <row r="152" spans="21:21" x14ac:dyDescent="0.2">
      <c r="U152" s="7"/>
    </row>
    <row r="153" spans="21:21" x14ac:dyDescent="0.2">
      <c r="U153" s="7"/>
    </row>
    <row r="154" spans="21:21" x14ac:dyDescent="0.2">
      <c r="U154" s="7"/>
    </row>
    <row r="155" spans="21:21" x14ac:dyDescent="0.2">
      <c r="U155" s="7"/>
    </row>
    <row r="156" spans="21:21" x14ac:dyDescent="0.2">
      <c r="U156" s="7"/>
    </row>
    <row r="157" spans="21:21" x14ac:dyDescent="0.2">
      <c r="U157" s="7"/>
    </row>
    <row r="158" spans="21:21" x14ac:dyDescent="0.2">
      <c r="U158" s="7"/>
    </row>
    <row r="159" spans="21:21" x14ac:dyDescent="0.2">
      <c r="U159" s="7"/>
    </row>
    <row r="160" spans="21:21" x14ac:dyDescent="0.2">
      <c r="U160" s="7"/>
    </row>
    <row r="161" spans="21:21" x14ac:dyDescent="0.2">
      <c r="U161" s="7"/>
    </row>
    <row r="162" spans="21:21" x14ac:dyDescent="0.2">
      <c r="U162" s="7"/>
    </row>
    <row r="163" spans="21:21" x14ac:dyDescent="0.2">
      <c r="U163" s="7"/>
    </row>
    <row r="164" spans="21:21" x14ac:dyDescent="0.2">
      <c r="U164" s="7"/>
    </row>
    <row r="165" spans="21:21" x14ac:dyDescent="0.2">
      <c r="U165" s="7"/>
    </row>
    <row r="166" spans="21:21" x14ac:dyDescent="0.2">
      <c r="U166" s="7"/>
    </row>
    <row r="167" spans="21:21" x14ac:dyDescent="0.2">
      <c r="U167" s="7"/>
    </row>
    <row r="168" spans="21:21" x14ac:dyDescent="0.2">
      <c r="U168" s="7"/>
    </row>
    <row r="169" spans="21:21" x14ac:dyDescent="0.2">
      <c r="U169" s="7"/>
    </row>
    <row r="170" spans="21:21" x14ac:dyDescent="0.2">
      <c r="U170" s="7"/>
    </row>
    <row r="171" spans="21:21" x14ac:dyDescent="0.2">
      <c r="U171" s="7"/>
    </row>
    <row r="172" spans="21:21" x14ac:dyDescent="0.2">
      <c r="U172" s="7"/>
    </row>
    <row r="173" spans="21:21" x14ac:dyDescent="0.2">
      <c r="U173" s="7"/>
    </row>
    <row r="174" spans="21:21" x14ac:dyDescent="0.2">
      <c r="U174" s="7"/>
    </row>
    <row r="175" spans="21:21" x14ac:dyDescent="0.2">
      <c r="U175" s="7"/>
    </row>
    <row r="176" spans="21:21" x14ac:dyDescent="0.2">
      <c r="U176" s="7"/>
    </row>
    <row r="177" spans="21:21" x14ac:dyDescent="0.2">
      <c r="U177" s="7"/>
    </row>
    <row r="178" spans="21:21" x14ac:dyDescent="0.2">
      <c r="U178" s="7"/>
    </row>
    <row r="179" spans="21:21" x14ac:dyDescent="0.2">
      <c r="U179" s="7"/>
    </row>
    <row r="180" spans="21:21" x14ac:dyDescent="0.2">
      <c r="U180" s="7"/>
    </row>
    <row r="181" spans="21:21" x14ac:dyDescent="0.2">
      <c r="U181" s="7"/>
    </row>
    <row r="182" spans="21:21" x14ac:dyDescent="0.2">
      <c r="U182" s="7"/>
    </row>
    <row r="183" spans="21:21" x14ac:dyDescent="0.2">
      <c r="U183" s="7"/>
    </row>
    <row r="184" spans="21:21" x14ac:dyDescent="0.2">
      <c r="U184" s="7"/>
    </row>
    <row r="185" spans="21:21" x14ac:dyDescent="0.2">
      <c r="U185" s="7"/>
    </row>
    <row r="186" spans="21:21" x14ac:dyDescent="0.2">
      <c r="U186" s="7"/>
    </row>
    <row r="187" spans="21:21" x14ac:dyDescent="0.2">
      <c r="U187" s="7"/>
    </row>
    <row r="188" spans="21:21" x14ac:dyDescent="0.2">
      <c r="U188" s="7"/>
    </row>
    <row r="189" spans="21:21" x14ac:dyDescent="0.2">
      <c r="U189" s="7"/>
    </row>
    <row r="190" spans="21:21" x14ac:dyDescent="0.2">
      <c r="U190" s="7"/>
    </row>
    <row r="191" spans="21:21" x14ac:dyDescent="0.2">
      <c r="U191" s="7"/>
    </row>
    <row r="192" spans="21:21" x14ac:dyDescent="0.2">
      <c r="U192" s="7"/>
    </row>
    <row r="193" spans="21:21" x14ac:dyDescent="0.2">
      <c r="U193" s="7"/>
    </row>
    <row r="194" spans="21:21" x14ac:dyDescent="0.2">
      <c r="U194" s="7"/>
    </row>
    <row r="195" spans="21:21" x14ac:dyDescent="0.2">
      <c r="U195" s="7"/>
    </row>
    <row r="196" spans="21:21" x14ac:dyDescent="0.2">
      <c r="U196" s="7"/>
    </row>
    <row r="197" spans="21:21" x14ac:dyDescent="0.2">
      <c r="U197" s="7"/>
    </row>
    <row r="198" spans="21:21" x14ac:dyDescent="0.2">
      <c r="U198" s="7"/>
    </row>
    <row r="199" spans="21:21" x14ac:dyDescent="0.2">
      <c r="U199" s="7"/>
    </row>
    <row r="200" spans="21:21" x14ac:dyDescent="0.2">
      <c r="U200" s="7"/>
    </row>
    <row r="201" spans="21:21" x14ac:dyDescent="0.2">
      <c r="U201" s="7"/>
    </row>
    <row r="202" spans="21:21" x14ac:dyDescent="0.2">
      <c r="U202" s="7"/>
    </row>
    <row r="203" spans="21:21" x14ac:dyDescent="0.2">
      <c r="U203" s="7"/>
    </row>
    <row r="204" spans="21:21" x14ac:dyDescent="0.2">
      <c r="U204" s="7"/>
    </row>
    <row r="205" spans="21:21" x14ac:dyDescent="0.2">
      <c r="U205" s="7"/>
    </row>
    <row r="206" spans="21:21" x14ac:dyDescent="0.2">
      <c r="U206" s="7"/>
    </row>
    <row r="207" spans="21:21" x14ac:dyDescent="0.2">
      <c r="U207" s="7"/>
    </row>
    <row r="208" spans="21:21" x14ac:dyDescent="0.2">
      <c r="U208" s="7"/>
    </row>
    <row r="209" spans="21:21" x14ac:dyDescent="0.2">
      <c r="U209" s="7"/>
    </row>
    <row r="210" spans="21:21" x14ac:dyDescent="0.2">
      <c r="U210" s="7"/>
    </row>
    <row r="211" spans="21:21" x14ac:dyDescent="0.2">
      <c r="U211" s="7"/>
    </row>
    <row r="212" spans="21:21" x14ac:dyDescent="0.2">
      <c r="U212" s="7"/>
    </row>
    <row r="213" spans="21:21" x14ac:dyDescent="0.2">
      <c r="U213" s="7"/>
    </row>
    <row r="214" spans="21:21" x14ac:dyDescent="0.2">
      <c r="U214" s="7"/>
    </row>
    <row r="215" spans="21:21" x14ac:dyDescent="0.2">
      <c r="U215" s="7"/>
    </row>
    <row r="216" spans="21:21" x14ac:dyDescent="0.2">
      <c r="U216" s="7"/>
    </row>
    <row r="217" spans="21:21" x14ac:dyDescent="0.2">
      <c r="U217" s="7"/>
    </row>
    <row r="218" spans="21:21" x14ac:dyDescent="0.2">
      <c r="U218" s="7"/>
    </row>
    <row r="219" spans="21:21" x14ac:dyDescent="0.2">
      <c r="U219" s="7"/>
    </row>
    <row r="220" spans="21:21" x14ac:dyDescent="0.2">
      <c r="U220" s="7"/>
    </row>
    <row r="221" spans="21:21" x14ac:dyDescent="0.2">
      <c r="U221" s="7"/>
    </row>
    <row r="222" spans="21:21" x14ac:dyDescent="0.2">
      <c r="U222" s="7"/>
    </row>
    <row r="223" spans="21:21" x14ac:dyDescent="0.2">
      <c r="U223" s="7"/>
    </row>
    <row r="224" spans="21:21" x14ac:dyDescent="0.2">
      <c r="U224" s="7"/>
    </row>
    <row r="225" spans="21:21" x14ac:dyDescent="0.2">
      <c r="U225" s="7"/>
    </row>
    <row r="226" spans="21:21" x14ac:dyDescent="0.2">
      <c r="U226" s="7"/>
    </row>
    <row r="227" spans="21:21" x14ac:dyDescent="0.2">
      <c r="U227" s="7"/>
    </row>
    <row r="228" spans="21:21" x14ac:dyDescent="0.2">
      <c r="U228" s="7"/>
    </row>
    <row r="229" spans="21:21" x14ac:dyDescent="0.2">
      <c r="U229" s="7"/>
    </row>
    <row r="230" spans="21:21" x14ac:dyDescent="0.2">
      <c r="U230" s="7"/>
    </row>
    <row r="231" spans="21:21" x14ac:dyDescent="0.2">
      <c r="U231" s="7"/>
    </row>
    <row r="232" spans="21:21" x14ac:dyDescent="0.2">
      <c r="U232" s="7"/>
    </row>
    <row r="233" spans="21:21" x14ac:dyDescent="0.2">
      <c r="U233" s="7"/>
    </row>
    <row r="234" spans="21:21" x14ac:dyDescent="0.2">
      <c r="U234" s="7"/>
    </row>
    <row r="235" spans="21:21" x14ac:dyDescent="0.2">
      <c r="U235" s="7"/>
    </row>
    <row r="236" spans="21:21" x14ac:dyDescent="0.2">
      <c r="U236" s="7"/>
    </row>
    <row r="237" spans="21:21" x14ac:dyDescent="0.2">
      <c r="U237" s="7"/>
    </row>
    <row r="238" spans="21:21" x14ac:dyDescent="0.2">
      <c r="U238" s="7"/>
    </row>
    <row r="239" spans="21:21" x14ac:dyDescent="0.2">
      <c r="U239" s="7"/>
    </row>
    <row r="240" spans="21:21" x14ac:dyDescent="0.2">
      <c r="U240" s="7"/>
    </row>
    <row r="241" spans="21:21" x14ac:dyDescent="0.2">
      <c r="U241" s="7"/>
    </row>
    <row r="242" spans="21:21" x14ac:dyDescent="0.2">
      <c r="U242" s="7"/>
    </row>
    <row r="243" spans="21:21" x14ac:dyDescent="0.2">
      <c r="U243" s="7"/>
    </row>
    <row r="244" spans="21:21" x14ac:dyDescent="0.2">
      <c r="U244" s="7"/>
    </row>
    <row r="245" spans="21:21" x14ac:dyDescent="0.2">
      <c r="U245" s="7"/>
    </row>
    <row r="246" spans="21:21" x14ac:dyDescent="0.2">
      <c r="U246" s="7"/>
    </row>
    <row r="247" spans="21:21" x14ac:dyDescent="0.2">
      <c r="U247" s="7"/>
    </row>
    <row r="248" spans="21:21" x14ac:dyDescent="0.2">
      <c r="U248" s="7"/>
    </row>
    <row r="249" spans="21:21" x14ac:dyDescent="0.2">
      <c r="U249" s="7"/>
    </row>
    <row r="250" spans="21:21" x14ac:dyDescent="0.2">
      <c r="U250" s="7"/>
    </row>
    <row r="251" spans="21:21" x14ac:dyDescent="0.2">
      <c r="U251" s="7"/>
    </row>
    <row r="252" spans="21:21" x14ac:dyDescent="0.2">
      <c r="U252" s="7"/>
    </row>
    <row r="253" spans="21:21" x14ac:dyDescent="0.2">
      <c r="U253" s="7"/>
    </row>
    <row r="254" spans="21:21" x14ac:dyDescent="0.2">
      <c r="U254" s="7"/>
    </row>
    <row r="255" spans="21:21" x14ac:dyDescent="0.2">
      <c r="U255" s="7"/>
    </row>
    <row r="256" spans="21:21" x14ac:dyDescent="0.2">
      <c r="U256" s="7"/>
    </row>
    <row r="257" spans="21:21" x14ac:dyDescent="0.2">
      <c r="U257" s="7"/>
    </row>
    <row r="258" spans="21:21" x14ac:dyDescent="0.2">
      <c r="U258" s="7"/>
    </row>
    <row r="259" spans="21:21" x14ac:dyDescent="0.2">
      <c r="U259" s="7"/>
    </row>
    <row r="260" spans="21:21" x14ac:dyDescent="0.2">
      <c r="U260" s="7"/>
    </row>
    <row r="261" spans="21:21" x14ac:dyDescent="0.2">
      <c r="U261" s="7"/>
    </row>
    <row r="262" spans="21:21" x14ac:dyDescent="0.2">
      <c r="U262" s="7"/>
    </row>
    <row r="263" spans="21:21" x14ac:dyDescent="0.2">
      <c r="U263" s="7"/>
    </row>
    <row r="264" spans="21:21" x14ac:dyDescent="0.2">
      <c r="U264" s="7"/>
    </row>
    <row r="265" spans="21:21" x14ac:dyDescent="0.2">
      <c r="U265" s="7"/>
    </row>
    <row r="266" spans="21:21" x14ac:dyDescent="0.2">
      <c r="U266" s="7"/>
    </row>
    <row r="267" spans="21:21" x14ac:dyDescent="0.2">
      <c r="U267" s="7"/>
    </row>
    <row r="268" spans="21:21" x14ac:dyDescent="0.2">
      <c r="U268" s="7"/>
    </row>
    <row r="269" spans="21:21" x14ac:dyDescent="0.2">
      <c r="U269" s="7"/>
    </row>
    <row r="270" spans="21:21" x14ac:dyDescent="0.2">
      <c r="U270" s="7"/>
    </row>
    <row r="271" spans="21:21" x14ac:dyDescent="0.2">
      <c r="U271" s="7"/>
    </row>
    <row r="272" spans="21:21" x14ac:dyDescent="0.2">
      <c r="U272" s="7"/>
    </row>
    <row r="273" spans="21:21" x14ac:dyDescent="0.2">
      <c r="U273" s="7"/>
    </row>
    <row r="274" spans="21:21" x14ac:dyDescent="0.2">
      <c r="U274" s="7"/>
    </row>
    <row r="275" spans="21:21" x14ac:dyDescent="0.2">
      <c r="U275" s="7"/>
    </row>
    <row r="276" spans="21:21" x14ac:dyDescent="0.2">
      <c r="U276" s="7"/>
    </row>
    <row r="277" spans="21:21" x14ac:dyDescent="0.2">
      <c r="U277" s="7"/>
    </row>
    <row r="278" spans="21:21" x14ac:dyDescent="0.2">
      <c r="U278" s="7"/>
    </row>
    <row r="279" spans="21:21" x14ac:dyDescent="0.2">
      <c r="U279" s="7"/>
    </row>
    <row r="280" spans="21:21" x14ac:dyDescent="0.2">
      <c r="U280" s="7"/>
    </row>
    <row r="281" spans="21:21" x14ac:dyDescent="0.2">
      <c r="U281" s="7"/>
    </row>
    <row r="282" spans="21:21" x14ac:dyDescent="0.2">
      <c r="U282" s="7"/>
    </row>
    <row r="283" spans="21:21" x14ac:dyDescent="0.2">
      <c r="U283" s="7"/>
    </row>
    <row r="284" spans="21:21" x14ac:dyDescent="0.2">
      <c r="U284" s="7"/>
    </row>
    <row r="285" spans="21:21" x14ac:dyDescent="0.2">
      <c r="U285" s="7"/>
    </row>
    <row r="286" spans="21:21" x14ac:dyDescent="0.2">
      <c r="U286" s="7"/>
    </row>
    <row r="287" spans="21:21" x14ac:dyDescent="0.2">
      <c r="U287" s="7"/>
    </row>
    <row r="288" spans="21:21" x14ac:dyDescent="0.2">
      <c r="U288" s="7"/>
    </row>
    <row r="289" spans="21:21" x14ac:dyDescent="0.2">
      <c r="U289" s="7"/>
    </row>
    <row r="290" spans="21:21" x14ac:dyDescent="0.2">
      <c r="U290" s="7"/>
    </row>
    <row r="291" spans="21:21" x14ac:dyDescent="0.2">
      <c r="U291" s="7"/>
    </row>
    <row r="292" spans="21:21" x14ac:dyDescent="0.2">
      <c r="U292" s="7"/>
    </row>
    <row r="293" spans="21:21" x14ac:dyDescent="0.2">
      <c r="U293" s="7"/>
    </row>
    <row r="294" spans="21:21" x14ac:dyDescent="0.2">
      <c r="U294" s="7"/>
    </row>
    <row r="295" spans="21:21" x14ac:dyDescent="0.2">
      <c r="U295" s="7"/>
    </row>
    <row r="296" spans="21:21" x14ac:dyDescent="0.2">
      <c r="U296" s="7"/>
    </row>
    <row r="297" spans="21:21" x14ac:dyDescent="0.2">
      <c r="U297" s="7"/>
    </row>
    <row r="298" spans="21:21" x14ac:dyDescent="0.2">
      <c r="U298" s="7"/>
    </row>
    <row r="299" spans="21:21" x14ac:dyDescent="0.2">
      <c r="U299" s="7"/>
    </row>
    <row r="300" spans="21:21" x14ac:dyDescent="0.2">
      <c r="U300" s="7"/>
    </row>
    <row r="301" spans="21:21" x14ac:dyDescent="0.2">
      <c r="U301" s="7"/>
    </row>
    <row r="302" spans="21:21" x14ac:dyDescent="0.2">
      <c r="U302" s="7"/>
    </row>
    <row r="303" spans="21:21" x14ac:dyDescent="0.2">
      <c r="U303" s="7"/>
    </row>
    <row r="304" spans="21:21" x14ac:dyDescent="0.2">
      <c r="U304" s="7"/>
    </row>
    <row r="305" spans="21:21" x14ac:dyDescent="0.2">
      <c r="U305" s="7"/>
    </row>
    <row r="306" spans="21:21" x14ac:dyDescent="0.2">
      <c r="U306" s="7"/>
    </row>
    <row r="307" spans="21:21" x14ac:dyDescent="0.2">
      <c r="U307" s="7"/>
    </row>
    <row r="308" spans="21:21" x14ac:dyDescent="0.2">
      <c r="U308" s="7"/>
    </row>
    <row r="309" spans="21:21" x14ac:dyDescent="0.2">
      <c r="U309" s="7"/>
    </row>
    <row r="310" spans="21:21" x14ac:dyDescent="0.2">
      <c r="U310" s="7"/>
    </row>
    <row r="311" spans="21:21" x14ac:dyDescent="0.2">
      <c r="U311" s="7"/>
    </row>
    <row r="312" spans="21:21" x14ac:dyDescent="0.2">
      <c r="U312" s="7"/>
    </row>
    <row r="313" spans="21:21" x14ac:dyDescent="0.2">
      <c r="U313" s="7"/>
    </row>
    <row r="314" spans="21:21" x14ac:dyDescent="0.2">
      <c r="U314" s="7"/>
    </row>
    <row r="315" spans="21:21" x14ac:dyDescent="0.2">
      <c r="U315" s="7"/>
    </row>
    <row r="316" spans="21:21" x14ac:dyDescent="0.2">
      <c r="U316" s="7"/>
    </row>
    <row r="317" spans="21:21" x14ac:dyDescent="0.2">
      <c r="U317" s="7"/>
    </row>
    <row r="318" spans="21:21" x14ac:dyDescent="0.2">
      <c r="U318" s="7"/>
    </row>
    <row r="319" spans="21:21" x14ac:dyDescent="0.2">
      <c r="U319" s="7"/>
    </row>
    <row r="320" spans="21:21" x14ac:dyDescent="0.2">
      <c r="U320" s="7"/>
    </row>
    <row r="321" spans="21:21" x14ac:dyDescent="0.2">
      <c r="U321" s="7"/>
    </row>
    <row r="322" spans="21:21" x14ac:dyDescent="0.2">
      <c r="U322" s="7"/>
    </row>
    <row r="323" spans="21:21" x14ac:dyDescent="0.2">
      <c r="U323" s="7"/>
    </row>
    <row r="324" spans="21:21" x14ac:dyDescent="0.2">
      <c r="U324" s="7"/>
    </row>
    <row r="325" spans="21:21" x14ac:dyDescent="0.2">
      <c r="U325" s="7"/>
    </row>
    <row r="326" spans="21:21" x14ac:dyDescent="0.2">
      <c r="U326" s="7"/>
    </row>
    <row r="327" spans="21:21" x14ac:dyDescent="0.2">
      <c r="U327" s="7"/>
    </row>
    <row r="328" spans="21:21" x14ac:dyDescent="0.2">
      <c r="U328" s="7"/>
    </row>
    <row r="329" spans="21:21" x14ac:dyDescent="0.2">
      <c r="U329" s="7"/>
    </row>
    <row r="330" spans="21:21" x14ac:dyDescent="0.2">
      <c r="U330" s="7"/>
    </row>
    <row r="331" spans="21:21" x14ac:dyDescent="0.2">
      <c r="U331" s="7"/>
    </row>
    <row r="332" spans="21:21" x14ac:dyDescent="0.2">
      <c r="U332" s="7"/>
    </row>
    <row r="333" spans="21:21" x14ac:dyDescent="0.2">
      <c r="U333" s="7"/>
    </row>
    <row r="334" spans="21:21" x14ac:dyDescent="0.2">
      <c r="U334" s="7"/>
    </row>
    <row r="335" spans="21:21" x14ac:dyDescent="0.2">
      <c r="U335" s="7"/>
    </row>
    <row r="336" spans="21:21" x14ac:dyDescent="0.2">
      <c r="U336" s="7"/>
    </row>
    <row r="337" spans="21:21" x14ac:dyDescent="0.2">
      <c r="U337" s="7"/>
    </row>
    <row r="338" spans="21:21" x14ac:dyDescent="0.2">
      <c r="U338" s="7"/>
    </row>
    <row r="339" spans="21:21" x14ac:dyDescent="0.2">
      <c r="U339" s="7"/>
    </row>
    <row r="340" spans="21:21" x14ac:dyDescent="0.2">
      <c r="U340" s="7"/>
    </row>
    <row r="341" spans="21:21" x14ac:dyDescent="0.2">
      <c r="U341" s="7"/>
    </row>
    <row r="342" spans="21:21" x14ac:dyDescent="0.2">
      <c r="U342" s="7"/>
    </row>
    <row r="343" spans="21:21" x14ac:dyDescent="0.2">
      <c r="U343" s="7"/>
    </row>
    <row r="344" spans="21:21" x14ac:dyDescent="0.2">
      <c r="U344" s="7"/>
    </row>
    <row r="345" spans="21:21" x14ac:dyDescent="0.2">
      <c r="U345" s="7"/>
    </row>
    <row r="346" spans="21:21" x14ac:dyDescent="0.2">
      <c r="U346" s="7"/>
    </row>
    <row r="347" spans="21:21" x14ac:dyDescent="0.2">
      <c r="U347" s="7"/>
    </row>
    <row r="348" spans="21:21" x14ac:dyDescent="0.2">
      <c r="U348" s="7"/>
    </row>
    <row r="349" spans="21:21" x14ac:dyDescent="0.2">
      <c r="U349" s="7"/>
    </row>
    <row r="350" spans="21:21" x14ac:dyDescent="0.2">
      <c r="U350" s="7"/>
    </row>
    <row r="351" spans="21:21" x14ac:dyDescent="0.2">
      <c r="U351" s="7"/>
    </row>
    <row r="352" spans="21:21" x14ac:dyDescent="0.2">
      <c r="U352" s="7"/>
    </row>
    <row r="353" spans="21:21" x14ac:dyDescent="0.2">
      <c r="U353" s="7"/>
    </row>
    <row r="354" spans="21:21" x14ac:dyDescent="0.2">
      <c r="U354" s="7"/>
    </row>
    <row r="355" spans="21:21" x14ac:dyDescent="0.2">
      <c r="U355" s="7"/>
    </row>
    <row r="356" spans="21:21" x14ac:dyDescent="0.2">
      <c r="U356" s="7"/>
    </row>
    <row r="357" spans="21:21" x14ac:dyDescent="0.2">
      <c r="U357" s="7"/>
    </row>
    <row r="358" spans="21:21" x14ac:dyDescent="0.2">
      <c r="U358" s="7"/>
    </row>
    <row r="359" spans="21:21" x14ac:dyDescent="0.2">
      <c r="U359" s="7"/>
    </row>
    <row r="360" spans="21:21" x14ac:dyDescent="0.2">
      <c r="U360" s="7"/>
    </row>
    <row r="361" spans="21:21" x14ac:dyDescent="0.2">
      <c r="U361" s="7"/>
    </row>
    <row r="362" spans="21:21" x14ac:dyDescent="0.2">
      <c r="U362" s="7"/>
    </row>
    <row r="363" spans="21:21" x14ac:dyDescent="0.2">
      <c r="U363" s="7"/>
    </row>
    <row r="364" spans="21:21" x14ac:dyDescent="0.2">
      <c r="U364" s="7"/>
    </row>
    <row r="365" spans="21:21" x14ac:dyDescent="0.2">
      <c r="U365" s="7"/>
    </row>
    <row r="366" spans="21:21" x14ac:dyDescent="0.2">
      <c r="U366" s="7"/>
    </row>
    <row r="367" spans="21:21" x14ac:dyDescent="0.2">
      <c r="U367" s="7"/>
    </row>
    <row r="368" spans="21:21" x14ac:dyDescent="0.2">
      <c r="U368" s="7"/>
    </row>
    <row r="369" spans="21:21" x14ac:dyDescent="0.2">
      <c r="U369" s="7"/>
    </row>
    <row r="370" spans="21:21" x14ac:dyDescent="0.2">
      <c r="U370" s="7"/>
    </row>
    <row r="371" spans="21:21" x14ac:dyDescent="0.2">
      <c r="U371" s="7"/>
    </row>
    <row r="372" spans="21:21" x14ac:dyDescent="0.2">
      <c r="U372" s="7"/>
    </row>
    <row r="373" spans="21:21" x14ac:dyDescent="0.2">
      <c r="U373" s="7"/>
    </row>
    <row r="374" spans="21:21" x14ac:dyDescent="0.2">
      <c r="U374" s="7"/>
    </row>
    <row r="375" spans="21:21" x14ac:dyDescent="0.2">
      <c r="U375" s="7"/>
    </row>
    <row r="376" spans="21:21" x14ac:dyDescent="0.2">
      <c r="U376" s="7"/>
    </row>
    <row r="377" spans="21:21" x14ac:dyDescent="0.2">
      <c r="U377" s="7"/>
    </row>
    <row r="378" spans="21:21" x14ac:dyDescent="0.2">
      <c r="U378" s="7"/>
    </row>
    <row r="379" spans="21:21" x14ac:dyDescent="0.2">
      <c r="U379" s="7"/>
    </row>
    <row r="380" spans="21:21" x14ac:dyDescent="0.2">
      <c r="U380" s="7"/>
    </row>
    <row r="381" spans="21:21" x14ac:dyDescent="0.2">
      <c r="U381" s="7"/>
    </row>
    <row r="382" spans="21:21" x14ac:dyDescent="0.2">
      <c r="U382" s="7"/>
    </row>
    <row r="383" spans="21:21" x14ac:dyDescent="0.2">
      <c r="U383" s="7"/>
    </row>
    <row r="384" spans="21:21" x14ac:dyDescent="0.2">
      <c r="U384" s="7"/>
    </row>
    <row r="385" spans="21:21" x14ac:dyDescent="0.2">
      <c r="U385" s="7"/>
    </row>
    <row r="386" spans="21:21" x14ac:dyDescent="0.2">
      <c r="U386" s="7"/>
    </row>
    <row r="387" spans="21:21" x14ac:dyDescent="0.2">
      <c r="U387" s="7"/>
    </row>
    <row r="388" spans="21:21" x14ac:dyDescent="0.2">
      <c r="U388" s="7"/>
    </row>
    <row r="389" spans="21:21" x14ac:dyDescent="0.2">
      <c r="U389" s="7"/>
    </row>
    <row r="390" spans="21:21" x14ac:dyDescent="0.2">
      <c r="U390" s="7"/>
    </row>
    <row r="391" spans="21:21" x14ac:dyDescent="0.2">
      <c r="U391" s="7"/>
    </row>
    <row r="392" spans="21:21" x14ac:dyDescent="0.2">
      <c r="U392" s="7"/>
    </row>
    <row r="393" spans="21:21" x14ac:dyDescent="0.2">
      <c r="U393" s="7"/>
    </row>
    <row r="394" spans="21:21" x14ac:dyDescent="0.2">
      <c r="U394" s="7"/>
    </row>
    <row r="395" spans="21:21" x14ac:dyDescent="0.2">
      <c r="U395" s="7"/>
    </row>
    <row r="396" spans="21:21" x14ac:dyDescent="0.2">
      <c r="U396" s="7"/>
    </row>
    <row r="397" spans="21:21" x14ac:dyDescent="0.2">
      <c r="U397" s="7"/>
    </row>
    <row r="398" spans="21:21" x14ac:dyDescent="0.2">
      <c r="U398" s="7"/>
    </row>
    <row r="399" spans="21:21" x14ac:dyDescent="0.2">
      <c r="U399" s="7"/>
    </row>
    <row r="400" spans="21:21" x14ac:dyDescent="0.2">
      <c r="U400" s="7"/>
    </row>
    <row r="401" spans="21:21" x14ac:dyDescent="0.2">
      <c r="U401" s="7"/>
    </row>
    <row r="402" spans="21:21" x14ac:dyDescent="0.2">
      <c r="U402" s="7"/>
    </row>
    <row r="403" spans="21:21" x14ac:dyDescent="0.2">
      <c r="U403" s="7"/>
    </row>
    <row r="404" spans="21:21" x14ac:dyDescent="0.2">
      <c r="U404" s="7"/>
    </row>
    <row r="405" spans="21:21" x14ac:dyDescent="0.2">
      <c r="U405" s="7"/>
    </row>
    <row r="406" spans="21:21" x14ac:dyDescent="0.2">
      <c r="U406" s="7"/>
    </row>
    <row r="407" spans="21:21" x14ac:dyDescent="0.2">
      <c r="U407" s="7"/>
    </row>
    <row r="408" spans="21:21" x14ac:dyDescent="0.2">
      <c r="U408" s="7"/>
    </row>
    <row r="409" spans="21:21" x14ac:dyDescent="0.2">
      <c r="U409" s="7"/>
    </row>
    <row r="410" spans="21:21" x14ac:dyDescent="0.2">
      <c r="U410" s="7"/>
    </row>
    <row r="411" spans="21:21" x14ac:dyDescent="0.2">
      <c r="U411" s="7"/>
    </row>
    <row r="412" spans="21:21" x14ac:dyDescent="0.2">
      <c r="U412" s="7"/>
    </row>
    <row r="413" spans="21:21" x14ac:dyDescent="0.2">
      <c r="U413" s="7"/>
    </row>
    <row r="414" spans="21:21" x14ac:dyDescent="0.2">
      <c r="U414" s="7"/>
    </row>
    <row r="415" spans="21:21" x14ac:dyDescent="0.2">
      <c r="U415" s="7"/>
    </row>
    <row r="416" spans="21:21" x14ac:dyDescent="0.2">
      <c r="U416" s="7"/>
    </row>
    <row r="417" spans="21:21" x14ac:dyDescent="0.2">
      <c r="U417" s="7"/>
    </row>
    <row r="418" spans="21:21" x14ac:dyDescent="0.2">
      <c r="U418" s="7"/>
    </row>
    <row r="419" spans="21:21" x14ac:dyDescent="0.2">
      <c r="U419" s="7"/>
    </row>
    <row r="420" spans="21:21" x14ac:dyDescent="0.2">
      <c r="U420" s="7"/>
    </row>
    <row r="421" spans="21:21" x14ac:dyDescent="0.2">
      <c r="U421" s="7"/>
    </row>
    <row r="422" spans="21:21" x14ac:dyDescent="0.2">
      <c r="U422" s="7"/>
    </row>
    <row r="423" spans="21:21" x14ac:dyDescent="0.2">
      <c r="U423" s="7"/>
    </row>
    <row r="424" spans="21:21" x14ac:dyDescent="0.2">
      <c r="U424" s="7"/>
    </row>
    <row r="425" spans="21:21" x14ac:dyDescent="0.2">
      <c r="U425" s="7"/>
    </row>
    <row r="426" spans="21:21" x14ac:dyDescent="0.2">
      <c r="U426" s="7"/>
    </row>
    <row r="427" spans="21:21" x14ac:dyDescent="0.2">
      <c r="U427" s="7"/>
    </row>
    <row r="428" spans="21:21" x14ac:dyDescent="0.2">
      <c r="U428" s="7"/>
    </row>
    <row r="429" spans="21:21" x14ac:dyDescent="0.2">
      <c r="U429" s="7"/>
    </row>
    <row r="430" spans="21:21" x14ac:dyDescent="0.2">
      <c r="U430" s="7"/>
    </row>
    <row r="431" spans="21:21" x14ac:dyDescent="0.2">
      <c r="U431" s="7"/>
    </row>
    <row r="432" spans="21:21" x14ac:dyDescent="0.2">
      <c r="U432" s="7"/>
    </row>
    <row r="433" spans="21:21" x14ac:dyDescent="0.2">
      <c r="U433" s="7"/>
    </row>
    <row r="434" spans="21:21" x14ac:dyDescent="0.2">
      <c r="U434" s="7"/>
    </row>
    <row r="435" spans="21:21" x14ac:dyDescent="0.2">
      <c r="U435" s="7"/>
    </row>
    <row r="436" spans="21:21" x14ac:dyDescent="0.2">
      <c r="U436" s="7"/>
    </row>
    <row r="437" spans="21:21" x14ac:dyDescent="0.2">
      <c r="U437" s="7"/>
    </row>
    <row r="438" spans="21:21" x14ac:dyDescent="0.2">
      <c r="U438" s="7"/>
    </row>
    <row r="439" spans="21:21" x14ac:dyDescent="0.2">
      <c r="U439" s="7"/>
    </row>
    <row r="440" spans="21:21" x14ac:dyDescent="0.2">
      <c r="U440" s="7"/>
    </row>
    <row r="441" spans="21:21" x14ac:dyDescent="0.2">
      <c r="U441" s="7"/>
    </row>
    <row r="442" spans="21:21" x14ac:dyDescent="0.2">
      <c r="U442" s="7"/>
    </row>
    <row r="443" spans="21:21" x14ac:dyDescent="0.2">
      <c r="U443" s="7"/>
    </row>
    <row r="444" spans="21:21" x14ac:dyDescent="0.2">
      <c r="U444" s="7"/>
    </row>
    <row r="445" spans="21:21" x14ac:dyDescent="0.2">
      <c r="U445" s="7"/>
    </row>
    <row r="446" spans="21:21" x14ac:dyDescent="0.2">
      <c r="U446" s="7"/>
    </row>
    <row r="447" spans="21:21" x14ac:dyDescent="0.2">
      <c r="U447" s="7"/>
    </row>
    <row r="448" spans="21:21" x14ac:dyDescent="0.2">
      <c r="U448" s="7"/>
    </row>
    <row r="449" spans="21:21" x14ac:dyDescent="0.2">
      <c r="U449" s="7"/>
    </row>
    <row r="450" spans="21:21" x14ac:dyDescent="0.2">
      <c r="U450" s="7"/>
    </row>
    <row r="451" spans="21:21" x14ac:dyDescent="0.2">
      <c r="U451" s="7"/>
    </row>
    <row r="452" spans="21:21" x14ac:dyDescent="0.2">
      <c r="U452" s="7"/>
    </row>
    <row r="453" spans="21:21" x14ac:dyDescent="0.2">
      <c r="U453" s="7"/>
    </row>
    <row r="454" spans="21:21" x14ac:dyDescent="0.2">
      <c r="U454" s="7"/>
    </row>
    <row r="455" spans="21:21" x14ac:dyDescent="0.2">
      <c r="U455" s="7"/>
    </row>
    <row r="456" spans="21:21" x14ac:dyDescent="0.2">
      <c r="U456" s="7"/>
    </row>
    <row r="457" spans="21:21" x14ac:dyDescent="0.2">
      <c r="U457" s="7"/>
    </row>
    <row r="458" spans="21:21" x14ac:dyDescent="0.2">
      <c r="U458" s="7"/>
    </row>
    <row r="459" spans="21:21" x14ac:dyDescent="0.2">
      <c r="U459" s="7"/>
    </row>
    <row r="460" spans="21:21" x14ac:dyDescent="0.2">
      <c r="U460" s="7"/>
    </row>
    <row r="461" spans="21:21" x14ac:dyDescent="0.2">
      <c r="U461" s="7"/>
    </row>
    <row r="462" spans="21:21" x14ac:dyDescent="0.2">
      <c r="U462" s="7"/>
    </row>
    <row r="463" spans="21:21" x14ac:dyDescent="0.2">
      <c r="U463" s="7"/>
    </row>
    <row r="464" spans="21:21" x14ac:dyDescent="0.2">
      <c r="U464" s="7"/>
    </row>
    <row r="465" spans="21:21" x14ac:dyDescent="0.2">
      <c r="U465" s="7"/>
    </row>
    <row r="466" spans="21:21" x14ac:dyDescent="0.2">
      <c r="U466" s="7"/>
    </row>
    <row r="467" spans="21:21" x14ac:dyDescent="0.2">
      <c r="U467" s="7"/>
    </row>
    <row r="468" spans="21:21" x14ac:dyDescent="0.2">
      <c r="U468" s="7"/>
    </row>
    <row r="469" spans="21:21" x14ac:dyDescent="0.2">
      <c r="U469" s="7"/>
    </row>
    <row r="470" spans="21:21" x14ac:dyDescent="0.2">
      <c r="U470" s="7"/>
    </row>
    <row r="471" spans="21:21" x14ac:dyDescent="0.2">
      <c r="U471" s="7"/>
    </row>
    <row r="472" spans="21:21" x14ac:dyDescent="0.2">
      <c r="U472" s="7"/>
    </row>
    <row r="473" spans="21:21" x14ac:dyDescent="0.2">
      <c r="U473" s="7"/>
    </row>
    <row r="474" spans="21:21" x14ac:dyDescent="0.2">
      <c r="U474" s="7"/>
    </row>
    <row r="475" spans="21:21" x14ac:dyDescent="0.2">
      <c r="U475" s="7"/>
    </row>
    <row r="476" spans="21:21" x14ac:dyDescent="0.2">
      <c r="U476" s="7"/>
    </row>
    <row r="477" spans="21:21" x14ac:dyDescent="0.2">
      <c r="U477" s="7"/>
    </row>
    <row r="478" spans="21:21" x14ac:dyDescent="0.2">
      <c r="U478" s="7"/>
    </row>
    <row r="479" spans="21:21" x14ac:dyDescent="0.2">
      <c r="U479" s="7"/>
    </row>
    <row r="480" spans="21:21" x14ac:dyDescent="0.2">
      <c r="U480" s="7"/>
    </row>
    <row r="481" spans="21:21" x14ac:dyDescent="0.2">
      <c r="U481" s="7"/>
    </row>
    <row r="482" spans="21:21" x14ac:dyDescent="0.2">
      <c r="U482" s="7"/>
    </row>
    <row r="483" spans="21:21" x14ac:dyDescent="0.2">
      <c r="U483" s="7"/>
    </row>
    <row r="484" spans="21:21" x14ac:dyDescent="0.2">
      <c r="U484" s="7"/>
    </row>
    <row r="485" spans="21:21" x14ac:dyDescent="0.2">
      <c r="U485" s="7"/>
    </row>
    <row r="486" spans="21:21" x14ac:dyDescent="0.2">
      <c r="U486" s="7"/>
    </row>
    <row r="487" spans="21:21" x14ac:dyDescent="0.2">
      <c r="U487" s="7"/>
    </row>
    <row r="488" spans="21:21" x14ac:dyDescent="0.2">
      <c r="U488" s="7"/>
    </row>
    <row r="489" spans="21:21" x14ac:dyDescent="0.2">
      <c r="U489" s="7"/>
    </row>
    <row r="490" spans="21:21" x14ac:dyDescent="0.2">
      <c r="U490" s="7"/>
    </row>
    <row r="491" spans="21:21" x14ac:dyDescent="0.2">
      <c r="U491" s="7"/>
    </row>
    <row r="492" spans="21:21" x14ac:dyDescent="0.2">
      <c r="U492" s="7"/>
    </row>
    <row r="493" spans="21:21" x14ac:dyDescent="0.2">
      <c r="U493" s="7"/>
    </row>
    <row r="494" spans="21:21" x14ac:dyDescent="0.2">
      <c r="U494" s="7"/>
    </row>
    <row r="495" spans="21:21" x14ac:dyDescent="0.2">
      <c r="U495" s="7"/>
    </row>
    <row r="496" spans="21:21" x14ac:dyDescent="0.2">
      <c r="U496" s="7"/>
    </row>
    <row r="497" spans="21:21" x14ac:dyDescent="0.2">
      <c r="U497" s="7"/>
    </row>
    <row r="498" spans="21:21" x14ac:dyDescent="0.2">
      <c r="U498" s="7"/>
    </row>
    <row r="499" spans="21:21" x14ac:dyDescent="0.2">
      <c r="U499" s="7"/>
    </row>
    <row r="500" spans="21:21" x14ac:dyDescent="0.2">
      <c r="U500" s="7"/>
    </row>
    <row r="501" spans="21:21" x14ac:dyDescent="0.2">
      <c r="U501" s="7"/>
    </row>
    <row r="502" spans="21:21" x14ac:dyDescent="0.2">
      <c r="U502" s="7"/>
    </row>
    <row r="503" spans="21:21" x14ac:dyDescent="0.2">
      <c r="U503" s="7"/>
    </row>
    <row r="504" spans="21:21" x14ac:dyDescent="0.2">
      <c r="U504" s="7"/>
    </row>
    <row r="505" spans="21:21" x14ac:dyDescent="0.2">
      <c r="U505" s="7"/>
    </row>
    <row r="506" spans="21:21" x14ac:dyDescent="0.2">
      <c r="U506" s="7"/>
    </row>
    <row r="507" spans="21:21" x14ac:dyDescent="0.2">
      <c r="U507" s="7"/>
    </row>
    <row r="508" spans="21:21" x14ac:dyDescent="0.2">
      <c r="U508" s="7"/>
    </row>
    <row r="509" spans="21:21" x14ac:dyDescent="0.2">
      <c r="U509" s="7"/>
    </row>
    <row r="510" spans="21:21" x14ac:dyDescent="0.2">
      <c r="U510" s="7"/>
    </row>
    <row r="511" spans="21:21" x14ac:dyDescent="0.2">
      <c r="U511" s="7"/>
    </row>
    <row r="512" spans="21:21" x14ac:dyDescent="0.2">
      <c r="U512" s="7"/>
    </row>
    <row r="513" spans="21:21" x14ac:dyDescent="0.2">
      <c r="U513" s="7"/>
    </row>
    <row r="514" spans="21:21" x14ac:dyDescent="0.2">
      <c r="U514" s="7"/>
    </row>
    <row r="515" spans="21:21" x14ac:dyDescent="0.2">
      <c r="U515" s="7"/>
    </row>
    <row r="516" spans="21:21" x14ac:dyDescent="0.2">
      <c r="U516" s="7"/>
    </row>
    <row r="517" spans="21:21" x14ac:dyDescent="0.2">
      <c r="U517" s="7"/>
    </row>
    <row r="518" spans="21:21" x14ac:dyDescent="0.2">
      <c r="U518" s="7"/>
    </row>
    <row r="519" spans="21:21" x14ac:dyDescent="0.2">
      <c r="U519" s="7"/>
    </row>
    <row r="520" spans="21:21" x14ac:dyDescent="0.2">
      <c r="U520" s="7"/>
    </row>
    <row r="521" spans="21:21" x14ac:dyDescent="0.2">
      <c r="U521" s="7"/>
    </row>
    <row r="522" spans="21:21" x14ac:dyDescent="0.2">
      <c r="U522" s="7"/>
    </row>
    <row r="523" spans="21:21" x14ac:dyDescent="0.2">
      <c r="U523" s="7"/>
    </row>
    <row r="524" spans="21:21" x14ac:dyDescent="0.2">
      <c r="U524" s="7"/>
    </row>
    <row r="525" spans="21:21" x14ac:dyDescent="0.2">
      <c r="U525" s="7"/>
    </row>
    <row r="526" spans="21:21" x14ac:dyDescent="0.2">
      <c r="U526" s="7"/>
    </row>
    <row r="527" spans="21:21" x14ac:dyDescent="0.2">
      <c r="U527" s="7"/>
    </row>
    <row r="528" spans="21:21" x14ac:dyDescent="0.2">
      <c r="U528" s="7"/>
    </row>
    <row r="529" spans="21:21" x14ac:dyDescent="0.2">
      <c r="U529" s="7"/>
    </row>
    <row r="530" spans="21:21" x14ac:dyDescent="0.2">
      <c r="U530" s="7"/>
    </row>
    <row r="531" spans="21:21" x14ac:dyDescent="0.2">
      <c r="U531" s="7"/>
    </row>
    <row r="532" spans="21:21" x14ac:dyDescent="0.2">
      <c r="U532" s="7"/>
    </row>
    <row r="533" spans="21:21" x14ac:dyDescent="0.2">
      <c r="U533" s="7"/>
    </row>
    <row r="534" spans="21:21" x14ac:dyDescent="0.2">
      <c r="U534" s="7"/>
    </row>
    <row r="535" spans="21:21" x14ac:dyDescent="0.2">
      <c r="U535" s="7"/>
    </row>
    <row r="536" spans="21:21" x14ac:dyDescent="0.2">
      <c r="U536" s="7"/>
    </row>
    <row r="537" spans="21:21" x14ac:dyDescent="0.2">
      <c r="U537" s="7"/>
    </row>
    <row r="538" spans="21:21" x14ac:dyDescent="0.2">
      <c r="U538" s="7"/>
    </row>
    <row r="539" spans="21:21" x14ac:dyDescent="0.2">
      <c r="U539" s="7"/>
    </row>
    <row r="540" spans="21:21" x14ac:dyDescent="0.2">
      <c r="U540" s="7"/>
    </row>
    <row r="541" spans="21:21" x14ac:dyDescent="0.2">
      <c r="U541" s="7"/>
    </row>
    <row r="542" spans="21:21" x14ac:dyDescent="0.2">
      <c r="U542" s="7"/>
    </row>
    <row r="543" spans="21:21" x14ac:dyDescent="0.2">
      <c r="U543" s="7"/>
    </row>
    <row r="544" spans="21:21" x14ac:dyDescent="0.2">
      <c r="U544" s="7"/>
    </row>
    <row r="545" spans="21:21" x14ac:dyDescent="0.2">
      <c r="U545" s="7"/>
    </row>
    <row r="546" spans="21:21" x14ac:dyDescent="0.2">
      <c r="U546" s="7"/>
    </row>
    <row r="547" spans="21:21" x14ac:dyDescent="0.2">
      <c r="U547" s="7"/>
    </row>
    <row r="548" spans="21:21" x14ac:dyDescent="0.2">
      <c r="U548" s="7"/>
    </row>
    <row r="549" spans="21:21" x14ac:dyDescent="0.2">
      <c r="U549" s="7"/>
    </row>
    <row r="550" spans="21:21" x14ac:dyDescent="0.2">
      <c r="U550" s="7"/>
    </row>
    <row r="551" spans="21:21" x14ac:dyDescent="0.2">
      <c r="U551" s="7"/>
    </row>
    <row r="552" spans="21:21" x14ac:dyDescent="0.2">
      <c r="U552" s="7"/>
    </row>
    <row r="553" spans="21:21" x14ac:dyDescent="0.2">
      <c r="U553" s="7"/>
    </row>
    <row r="554" spans="21:21" x14ac:dyDescent="0.2">
      <c r="U554" s="7"/>
    </row>
    <row r="555" spans="21:21" x14ac:dyDescent="0.2">
      <c r="U555" s="7"/>
    </row>
    <row r="556" spans="21:21" x14ac:dyDescent="0.2">
      <c r="U556" s="7"/>
    </row>
    <row r="557" spans="21:21" x14ac:dyDescent="0.2">
      <c r="U557" s="7"/>
    </row>
    <row r="558" spans="21:21" x14ac:dyDescent="0.2">
      <c r="U558" s="7"/>
    </row>
    <row r="559" spans="21:21" x14ac:dyDescent="0.2">
      <c r="U559" s="7"/>
    </row>
    <row r="560" spans="21:21" x14ac:dyDescent="0.2">
      <c r="U560" s="7"/>
    </row>
    <row r="561" spans="21:21" x14ac:dyDescent="0.2">
      <c r="U561" s="7"/>
    </row>
    <row r="562" spans="21:21" x14ac:dyDescent="0.2">
      <c r="U562" s="7"/>
    </row>
    <row r="563" spans="21:21" x14ac:dyDescent="0.2">
      <c r="U563" s="7"/>
    </row>
    <row r="564" spans="21:21" x14ac:dyDescent="0.2">
      <c r="U564" s="7"/>
    </row>
    <row r="565" spans="21:21" x14ac:dyDescent="0.2">
      <c r="U565" s="7"/>
    </row>
    <row r="566" spans="21:21" x14ac:dyDescent="0.2">
      <c r="U566" s="7"/>
    </row>
    <row r="567" spans="21:21" x14ac:dyDescent="0.2">
      <c r="U567" s="7"/>
    </row>
    <row r="568" spans="21:21" x14ac:dyDescent="0.2">
      <c r="U568" s="7"/>
    </row>
    <row r="569" spans="21:21" x14ac:dyDescent="0.2">
      <c r="U569" s="7"/>
    </row>
    <row r="570" spans="21:21" x14ac:dyDescent="0.2">
      <c r="U570" s="7"/>
    </row>
    <row r="571" spans="21:21" x14ac:dyDescent="0.2">
      <c r="U571" s="7"/>
    </row>
    <row r="572" spans="21:21" x14ac:dyDescent="0.2">
      <c r="U572" s="7"/>
    </row>
    <row r="573" spans="21:21" x14ac:dyDescent="0.2">
      <c r="U573" s="7"/>
    </row>
    <row r="574" spans="21:21" x14ac:dyDescent="0.2">
      <c r="U574" s="7"/>
    </row>
    <row r="575" spans="21:21" x14ac:dyDescent="0.2">
      <c r="U575" s="7"/>
    </row>
    <row r="576" spans="21:21" x14ac:dyDescent="0.2">
      <c r="U576" s="7"/>
    </row>
    <row r="577" spans="21:21" x14ac:dyDescent="0.2">
      <c r="U577" s="7"/>
    </row>
    <row r="578" spans="21:21" x14ac:dyDescent="0.2">
      <c r="U578" s="7"/>
    </row>
    <row r="579" spans="21:21" x14ac:dyDescent="0.2">
      <c r="U579" s="7"/>
    </row>
    <row r="580" spans="21:21" x14ac:dyDescent="0.2">
      <c r="U580" s="7"/>
    </row>
    <row r="581" spans="21:21" x14ac:dyDescent="0.2">
      <c r="U581" s="7"/>
    </row>
    <row r="582" spans="21:21" x14ac:dyDescent="0.2">
      <c r="U582" s="7"/>
    </row>
    <row r="583" spans="21:21" x14ac:dyDescent="0.2">
      <c r="U583" s="7"/>
    </row>
    <row r="584" spans="21:21" x14ac:dyDescent="0.2">
      <c r="U584" s="7"/>
    </row>
    <row r="585" spans="21:21" x14ac:dyDescent="0.2">
      <c r="U585" s="7"/>
    </row>
    <row r="586" spans="21:21" x14ac:dyDescent="0.2">
      <c r="U586" s="7"/>
    </row>
    <row r="587" spans="21:21" x14ac:dyDescent="0.2">
      <c r="U587" s="7"/>
    </row>
    <row r="588" spans="21:21" x14ac:dyDescent="0.2">
      <c r="U588" s="7"/>
    </row>
    <row r="589" spans="21:21" x14ac:dyDescent="0.2">
      <c r="U589" s="7"/>
    </row>
    <row r="590" spans="21:21" x14ac:dyDescent="0.2">
      <c r="U590" s="7"/>
    </row>
    <row r="591" spans="21:21" x14ac:dyDescent="0.2">
      <c r="U591" s="7"/>
    </row>
    <row r="592" spans="21:21" x14ac:dyDescent="0.2">
      <c r="U592" s="7"/>
    </row>
    <row r="593" spans="21:21" x14ac:dyDescent="0.2">
      <c r="U593" s="7"/>
    </row>
    <row r="594" spans="21:21" x14ac:dyDescent="0.2">
      <c r="U594" s="7"/>
    </row>
    <row r="595" spans="21:21" x14ac:dyDescent="0.2">
      <c r="U595" s="7"/>
    </row>
    <row r="596" spans="21:21" x14ac:dyDescent="0.2">
      <c r="U596" s="7"/>
    </row>
    <row r="597" spans="21:21" x14ac:dyDescent="0.2">
      <c r="U597" s="7"/>
    </row>
    <row r="598" spans="21:21" x14ac:dyDescent="0.2">
      <c r="U598" s="7"/>
    </row>
    <row r="599" spans="21:21" x14ac:dyDescent="0.2">
      <c r="U599" s="7"/>
    </row>
    <row r="600" spans="21:21" x14ac:dyDescent="0.2">
      <c r="U600" s="7"/>
    </row>
    <row r="601" spans="21:21" x14ac:dyDescent="0.2">
      <c r="U601" s="7"/>
    </row>
    <row r="602" spans="21:21" x14ac:dyDescent="0.2">
      <c r="U602" s="7"/>
    </row>
    <row r="603" spans="21:21" x14ac:dyDescent="0.2">
      <c r="U603" s="7"/>
    </row>
    <row r="604" spans="21:21" x14ac:dyDescent="0.2">
      <c r="U604" s="7"/>
    </row>
    <row r="605" spans="21:21" x14ac:dyDescent="0.2">
      <c r="U605" s="7"/>
    </row>
    <row r="606" spans="21:21" x14ac:dyDescent="0.2">
      <c r="U606" s="7"/>
    </row>
    <row r="607" spans="21:21" x14ac:dyDescent="0.2">
      <c r="U607" s="7"/>
    </row>
    <row r="608" spans="21:21" x14ac:dyDescent="0.2">
      <c r="U608" s="7"/>
    </row>
    <row r="609" spans="21:21" x14ac:dyDescent="0.2">
      <c r="U609" s="7"/>
    </row>
    <row r="610" spans="21:21" x14ac:dyDescent="0.2">
      <c r="U610" s="7"/>
    </row>
    <row r="611" spans="21:21" x14ac:dyDescent="0.2">
      <c r="U611" s="7"/>
    </row>
    <row r="612" spans="21:21" x14ac:dyDescent="0.2">
      <c r="U612" s="7"/>
    </row>
    <row r="613" spans="21:21" x14ac:dyDescent="0.2">
      <c r="U613" s="7"/>
    </row>
    <row r="614" spans="21:21" x14ac:dyDescent="0.2">
      <c r="U614" s="7"/>
    </row>
    <row r="615" spans="21:21" x14ac:dyDescent="0.2">
      <c r="U615" s="7"/>
    </row>
    <row r="616" spans="21:21" x14ac:dyDescent="0.2">
      <c r="U616" s="7"/>
    </row>
    <row r="617" spans="21:21" x14ac:dyDescent="0.2">
      <c r="U617" s="7"/>
    </row>
    <row r="618" spans="21:21" x14ac:dyDescent="0.2">
      <c r="U618" s="7"/>
    </row>
    <row r="619" spans="21:21" x14ac:dyDescent="0.2">
      <c r="U619" s="7"/>
    </row>
    <row r="620" spans="21:21" x14ac:dyDescent="0.2">
      <c r="U620" s="7"/>
    </row>
    <row r="621" spans="21:21" x14ac:dyDescent="0.2">
      <c r="U621" s="7"/>
    </row>
    <row r="622" spans="21:21" x14ac:dyDescent="0.2">
      <c r="U622" s="7"/>
    </row>
    <row r="623" spans="21:21" x14ac:dyDescent="0.2">
      <c r="U623" s="7"/>
    </row>
    <row r="624" spans="21:21" x14ac:dyDescent="0.2">
      <c r="U624" s="7"/>
    </row>
    <row r="625" spans="21:21" x14ac:dyDescent="0.2">
      <c r="U625" s="7"/>
    </row>
    <row r="626" spans="21:21" x14ac:dyDescent="0.2">
      <c r="U626" s="7"/>
    </row>
    <row r="627" spans="21:21" x14ac:dyDescent="0.2">
      <c r="U627" s="7"/>
    </row>
    <row r="628" spans="21:21" x14ac:dyDescent="0.2">
      <c r="U628" s="7"/>
    </row>
    <row r="629" spans="21:21" x14ac:dyDescent="0.2">
      <c r="U629" s="7"/>
    </row>
    <row r="630" spans="21:21" x14ac:dyDescent="0.2">
      <c r="U630" s="7"/>
    </row>
    <row r="631" spans="21:21" x14ac:dyDescent="0.2">
      <c r="U631" s="7"/>
    </row>
    <row r="632" spans="21:21" x14ac:dyDescent="0.2">
      <c r="U632" s="7"/>
    </row>
    <row r="633" spans="21:21" x14ac:dyDescent="0.2">
      <c r="U633" s="7"/>
    </row>
    <row r="634" spans="21:21" x14ac:dyDescent="0.2">
      <c r="U634" s="7"/>
    </row>
    <row r="635" spans="21:21" x14ac:dyDescent="0.2">
      <c r="U635" s="7"/>
    </row>
    <row r="636" spans="21:21" x14ac:dyDescent="0.2">
      <c r="U636" s="7"/>
    </row>
    <row r="637" spans="21:21" x14ac:dyDescent="0.2">
      <c r="U637" s="7"/>
    </row>
    <row r="638" spans="21:21" x14ac:dyDescent="0.2">
      <c r="U638" s="7"/>
    </row>
    <row r="639" spans="21:21" x14ac:dyDescent="0.2">
      <c r="U639" s="7"/>
    </row>
    <row r="640" spans="21:21" x14ac:dyDescent="0.2">
      <c r="U640" s="7"/>
    </row>
    <row r="641" spans="21:21" x14ac:dyDescent="0.2">
      <c r="U641" s="7"/>
    </row>
    <row r="642" spans="21:21" x14ac:dyDescent="0.2">
      <c r="U642" s="7"/>
    </row>
    <row r="643" spans="21:21" x14ac:dyDescent="0.2">
      <c r="U643" s="7"/>
    </row>
    <row r="644" spans="21:21" x14ac:dyDescent="0.2">
      <c r="U644" s="7"/>
    </row>
    <row r="645" spans="21:21" x14ac:dyDescent="0.2">
      <c r="U645" s="7"/>
    </row>
    <row r="646" spans="21:21" x14ac:dyDescent="0.2">
      <c r="U646" s="7"/>
    </row>
    <row r="647" spans="21:21" x14ac:dyDescent="0.2">
      <c r="U647" s="7"/>
    </row>
    <row r="648" spans="21:21" x14ac:dyDescent="0.2">
      <c r="U648" s="7"/>
    </row>
    <row r="649" spans="21:21" x14ac:dyDescent="0.2">
      <c r="U649" s="7"/>
    </row>
    <row r="650" spans="21:21" x14ac:dyDescent="0.2">
      <c r="U650" s="7"/>
    </row>
    <row r="651" spans="21:21" x14ac:dyDescent="0.2">
      <c r="U651" s="7"/>
    </row>
    <row r="652" spans="21:21" x14ac:dyDescent="0.2">
      <c r="U652" s="7"/>
    </row>
    <row r="653" spans="21:21" x14ac:dyDescent="0.2">
      <c r="U653" s="7"/>
    </row>
    <row r="654" spans="21:21" x14ac:dyDescent="0.2">
      <c r="U654" s="7"/>
    </row>
    <row r="655" spans="21:21" x14ac:dyDescent="0.2">
      <c r="U655" s="7"/>
    </row>
    <row r="656" spans="21:21" x14ac:dyDescent="0.2">
      <c r="U656" s="7"/>
    </row>
    <row r="657" spans="21:21" x14ac:dyDescent="0.2">
      <c r="U657" s="7"/>
    </row>
    <row r="658" spans="21:21" x14ac:dyDescent="0.2">
      <c r="U658" s="7"/>
    </row>
    <row r="659" spans="21:21" x14ac:dyDescent="0.2">
      <c r="U659" s="7"/>
    </row>
    <row r="660" spans="21:21" x14ac:dyDescent="0.2">
      <c r="U660" s="7"/>
    </row>
    <row r="661" spans="21:21" x14ac:dyDescent="0.2">
      <c r="U661" s="7"/>
    </row>
    <row r="662" spans="21:21" x14ac:dyDescent="0.2">
      <c r="U662" s="7"/>
    </row>
    <row r="663" spans="21:21" x14ac:dyDescent="0.2">
      <c r="U663" s="7"/>
    </row>
    <row r="664" spans="21:21" x14ac:dyDescent="0.2">
      <c r="U664" s="7"/>
    </row>
    <row r="665" spans="21:21" x14ac:dyDescent="0.2">
      <c r="U665" s="7"/>
    </row>
    <row r="666" spans="21:21" x14ac:dyDescent="0.2">
      <c r="U666" s="7"/>
    </row>
    <row r="667" spans="21:21" x14ac:dyDescent="0.2">
      <c r="U667" s="7"/>
    </row>
    <row r="668" spans="21:21" x14ac:dyDescent="0.2">
      <c r="U668" s="7"/>
    </row>
    <row r="669" spans="21:21" x14ac:dyDescent="0.2">
      <c r="U669" s="7"/>
    </row>
    <row r="670" spans="21:21" x14ac:dyDescent="0.2">
      <c r="U670" s="7"/>
    </row>
    <row r="671" spans="21:21" x14ac:dyDescent="0.2">
      <c r="U671" s="7"/>
    </row>
    <row r="672" spans="21:21" x14ac:dyDescent="0.2">
      <c r="U672" s="7"/>
    </row>
    <row r="673" spans="21:21" x14ac:dyDescent="0.2">
      <c r="U673" s="7"/>
    </row>
    <row r="674" spans="21:21" x14ac:dyDescent="0.2">
      <c r="U674" s="7"/>
    </row>
    <row r="675" spans="21:21" x14ac:dyDescent="0.2">
      <c r="U675" s="7"/>
    </row>
    <row r="676" spans="21:21" x14ac:dyDescent="0.2">
      <c r="U676" s="7"/>
    </row>
    <row r="677" spans="21:21" x14ac:dyDescent="0.2">
      <c r="U677" s="7"/>
    </row>
    <row r="678" spans="21:21" x14ac:dyDescent="0.2">
      <c r="U678" s="7"/>
    </row>
    <row r="679" spans="21:21" x14ac:dyDescent="0.2">
      <c r="U679" s="7"/>
    </row>
    <row r="680" spans="21:21" x14ac:dyDescent="0.2">
      <c r="U680" s="7"/>
    </row>
    <row r="681" spans="21:21" x14ac:dyDescent="0.2">
      <c r="U681" s="7"/>
    </row>
    <row r="682" spans="21:21" x14ac:dyDescent="0.2">
      <c r="U682" s="7"/>
    </row>
    <row r="683" spans="21:21" x14ac:dyDescent="0.2">
      <c r="U683" s="7"/>
    </row>
    <row r="684" spans="21:21" x14ac:dyDescent="0.2">
      <c r="U684" s="7"/>
    </row>
    <row r="685" spans="21:21" x14ac:dyDescent="0.2">
      <c r="U685" s="7"/>
    </row>
    <row r="686" spans="21:21" x14ac:dyDescent="0.2">
      <c r="U686" s="7"/>
    </row>
    <row r="687" spans="21:21" x14ac:dyDescent="0.2">
      <c r="U687" s="7"/>
    </row>
    <row r="688" spans="21:21" x14ac:dyDescent="0.2">
      <c r="U688" s="7"/>
    </row>
    <row r="689" spans="21:21" x14ac:dyDescent="0.2">
      <c r="U689" s="7"/>
    </row>
    <row r="690" spans="21:21" x14ac:dyDescent="0.2">
      <c r="U690" s="7"/>
    </row>
    <row r="691" spans="21:21" x14ac:dyDescent="0.2">
      <c r="U691" s="7"/>
    </row>
    <row r="692" spans="21:21" x14ac:dyDescent="0.2">
      <c r="U692" s="7"/>
    </row>
    <row r="693" spans="21:21" x14ac:dyDescent="0.2">
      <c r="U693" s="7"/>
    </row>
    <row r="694" spans="21:21" x14ac:dyDescent="0.2">
      <c r="U694" s="7"/>
    </row>
    <row r="695" spans="21:21" x14ac:dyDescent="0.2">
      <c r="U695" s="7"/>
    </row>
    <row r="696" spans="21:21" x14ac:dyDescent="0.2">
      <c r="U696" s="7"/>
    </row>
    <row r="697" spans="21:21" x14ac:dyDescent="0.2">
      <c r="U697" s="7"/>
    </row>
    <row r="698" spans="21:21" x14ac:dyDescent="0.2">
      <c r="U698" s="7"/>
    </row>
    <row r="699" spans="21:21" x14ac:dyDescent="0.2">
      <c r="U699" s="7"/>
    </row>
    <row r="700" spans="21:21" x14ac:dyDescent="0.2">
      <c r="U700" s="7"/>
    </row>
    <row r="701" spans="21:21" x14ac:dyDescent="0.2">
      <c r="U701" s="7"/>
    </row>
    <row r="702" spans="21:21" x14ac:dyDescent="0.2">
      <c r="U702" s="7"/>
    </row>
    <row r="703" spans="21:21" x14ac:dyDescent="0.2">
      <c r="U703" s="7"/>
    </row>
    <row r="704" spans="21:21" x14ac:dyDescent="0.2">
      <c r="U704" s="7"/>
    </row>
    <row r="705" spans="21:21" x14ac:dyDescent="0.2">
      <c r="U705" s="7"/>
    </row>
    <row r="706" spans="21:21" x14ac:dyDescent="0.2">
      <c r="U706" s="7"/>
    </row>
    <row r="707" spans="21:21" x14ac:dyDescent="0.2">
      <c r="U707" s="7"/>
    </row>
    <row r="708" spans="21:21" x14ac:dyDescent="0.2">
      <c r="U708" s="7"/>
    </row>
    <row r="709" spans="21:21" x14ac:dyDescent="0.2">
      <c r="U709" s="7"/>
    </row>
    <row r="710" spans="21:21" x14ac:dyDescent="0.2">
      <c r="U710" s="7"/>
    </row>
    <row r="711" spans="21:21" x14ac:dyDescent="0.2">
      <c r="U711" s="7"/>
    </row>
    <row r="712" spans="21:21" x14ac:dyDescent="0.2">
      <c r="U712" s="7"/>
    </row>
    <row r="713" spans="21:21" x14ac:dyDescent="0.2">
      <c r="U713" s="7"/>
    </row>
    <row r="714" spans="21:21" x14ac:dyDescent="0.2">
      <c r="U714" s="7"/>
    </row>
    <row r="715" spans="21:21" x14ac:dyDescent="0.2">
      <c r="U715" s="7"/>
    </row>
    <row r="716" spans="21:21" x14ac:dyDescent="0.2">
      <c r="U716" s="7"/>
    </row>
    <row r="717" spans="21:21" x14ac:dyDescent="0.2">
      <c r="U717" s="7"/>
    </row>
    <row r="718" spans="21:21" x14ac:dyDescent="0.2">
      <c r="U718" s="7"/>
    </row>
    <row r="719" spans="21:21" x14ac:dyDescent="0.2">
      <c r="U719" s="7"/>
    </row>
    <row r="720" spans="21:21" x14ac:dyDescent="0.2">
      <c r="U720" s="7"/>
    </row>
    <row r="721" spans="21:21" x14ac:dyDescent="0.2">
      <c r="U721" s="7"/>
    </row>
    <row r="722" spans="21:21" x14ac:dyDescent="0.2">
      <c r="U722" s="7"/>
    </row>
    <row r="723" spans="21:21" x14ac:dyDescent="0.2">
      <c r="U723" s="7"/>
    </row>
    <row r="724" spans="21:21" x14ac:dyDescent="0.2">
      <c r="U724" s="7"/>
    </row>
    <row r="725" spans="21:21" x14ac:dyDescent="0.2">
      <c r="U725" s="7"/>
    </row>
    <row r="726" spans="21:21" x14ac:dyDescent="0.2">
      <c r="U726" s="7"/>
    </row>
    <row r="727" spans="21:21" x14ac:dyDescent="0.2">
      <c r="U727" s="7"/>
    </row>
    <row r="728" spans="21:21" x14ac:dyDescent="0.2">
      <c r="U728" s="7"/>
    </row>
    <row r="729" spans="21:21" x14ac:dyDescent="0.2">
      <c r="U729" s="7"/>
    </row>
    <row r="730" spans="21:21" x14ac:dyDescent="0.2">
      <c r="U730" s="7"/>
    </row>
    <row r="731" spans="21:21" x14ac:dyDescent="0.2">
      <c r="U731" s="7"/>
    </row>
    <row r="732" spans="21:21" x14ac:dyDescent="0.2">
      <c r="U732" s="7"/>
    </row>
    <row r="733" spans="21:21" x14ac:dyDescent="0.2">
      <c r="U733" s="7"/>
    </row>
    <row r="734" spans="21:21" x14ac:dyDescent="0.2">
      <c r="U734" s="7"/>
    </row>
    <row r="735" spans="21:21" x14ac:dyDescent="0.2">
      <c r="U735" s="7"/>
    </row>
    <row r="736" spans="21:21" x14ac:dyDescent="0.2">
      <c r="U736" s="7"/>
    </row>
    <row r="737" spans="21:21" x14ac:dyDescent="0.2">
      <c r="U737" s="7"/>
    </row>
    <row r="738" spans="21:21" x14ac:dyDescent="0.2">
      <c r="U738" s="7"/>
    </row>
    <row r="739" spans="21:21" x14ac:dyDescent="0.2">
      <c r="U739" s="7"/>
    </row>
    <row r="740" spans="21:21" x14ac:dyDescent="0.2">
      <c r="U740" s="7"/>
    </row>
    <row r="741" spans="21:21" x14ac:dyDescent="0.2">
      <c r="U741" s="7"/>
    </row>
    <row r="742" spans="21:21" x14ac:dyDescent="0.2">
      <c r="U742" s="7"/>
    </row>
    <row r="743" spans="21:21" x14ac:dyDescent="0.2">
      <c r="U743" s="7"/>
    </row>
    <row r="744" spans="21:21" x14ac:dyDescent="0.2">
      <c r="U744" s="7"/>
    </row>
    <row r="745" spans="21:21" x14ac:dyDescent="0.2">
      <c r="U745" s="7"/>
    </row>
    <row r="746" spans="21:21" x14ac:dyDescent="0.2">
      <c r="U746" s="7"/>
    </row>
    <row r="747" spans="21:21" x14ac:dyDescent="0.2">
      <c r="U747" s="7"/>
    </row>
    <row r="748" spans="21:21" x14ac:dyDescent="0.2">
      <c r="U748" s="7"/>
    </row>
    <row r="749" spans="21:21" x14ac:dyDescent="0.2">
      <c r="U749" s="7"/>
    </row>
    <row r="750" spans="21:21" x14ac:dyDescent="0.2">
      <c r="U750" s="7"/>
    </row>
    <row r="751" spans="21:21" x14ac:dyDescent="0.2">
      <c r="U751" s="7"/>
    </row>
    <row r="752" spans="21:21" x14ac:dyDescent="0.2">
      <c r="U752" s="7"/>
    </row>
    <row r="753" spans="21:21" x14ac:dyDescent="0.2">
      <c r="U753" s="7"/>
    </row>
    <row r="754" spans="21:21" x14ac:dyDescent="0.2">
      <c r="U754" s="7"/>
    </row>
    <row r="755" spans="21:21" x14ac:dyDescent="0.2">
      <c r="U755" s="7"/>
    </row>
    <row r="756" spans="21:21" x14ac:dyDescent="0.2">
      <c r="U756" s="7"/>
    </row>
    <row r="757" spans="21:21" x14ac:dyDescent="0.2">
      <c r="U757" s="7"/>
    </row>
    <row r="758" spans="21:21" x14ac:dyDescent="0.2">
      <c r="U758" s="7"/>
    </row>
    <row r="759" spans="21:21" x14ac:dyDescent="0.2">
      <c r="U759" s="7"/>
    </row>
    <row r="760" spans="21:21" x14ac:dyDescent="0.2">
      <c r="U760" s="7"/>
    </row>
    <row r="761" spans="21:21" x14ac:dyDescent="0.2">
      <c r="U761" s="7"/>
    </row>
    <row r="762" spans="21:21" x14ac:dyDescent="0.2">
      <c r="U762" s="7"/>
    </row>
    <row r="763" spans="21:21" x14ac:dyDescent="0.2">
      <c r="U763" s="7"/>
    </row>
    <row r="764" spans="21:21" x14ac:dyDescent="0.2">
      <c r="U764" s="7"/>
    </row>
    <row r="765" spans="21:21" x14ac:dyDescent="0.2">
      <c r="U765" s="7"/>
    </row>
    <row r="766" spans="21:21" x14ac:dyDescent="0.2">
      <c r="U766" s="7"/>
    </row>
    <row r="767" spans="21:21" x14ac:dyDescent="0.2">
      <c r="U767" s="7"/>
    </row>
    <row r="768" spans="21:21" x14ac:dyDescent="0.2">
      <c r="U768" s="7"/>
    </row>
    <row r="769" spans="21:21" x14ac:dyDescent="0.2">
      <c r="U769" s="7"/>
    </row>
    <row r="770" spans="21:21" x14ac:dyDescent="0.2">
      <c r="U770" s="7"/>
    </row>
    <row r="771" spans="21:21" x14ac:dyDescent="0.2">
      <c r="U771" s="7"/>
    </row>
    <row r="772" spans="21:21" x14ac:dyDescent="0.2">
      <c r="U772" s="7"/>
    </row>
    <row r="773" spans="21:21" x14ac:dyDescent="0.2">
      <c r="U773" s="7"/>
    </row>
    <row r="774" spans="21:21" x14ac:dyDescent="0.2">
      <c r="U774" s="7"/>
    </row>
    <row r="775" spans="21:21" x14ac:dyDescent="0.2">
      <c r="U775" s="7"/>
    </row>
    <row r="776" spans="21:21" x14ac:dyDescent="0.2">
      <c r="U776" s="7"/>
    </row>
    <row r="777" spans="21:21" x14ac:dyDescent="0.2">
      <c r="U777" s="7"/>
    </row>
    <row r="778" spans="21:21" x14ac:dyDescent="0.2">
      <c r="U778" s="7"/>
    </row>
    <row r="779" spans="21:21" x14ac:dyDescent="0.2">
      <c r="U779" s="7"/>
    </row>
    <row r="780" spans="21:21" x14ac:dyDescent="0.2">
      <c r="U780" s="7"/>
    </row>
    <row r="781" spans="21:21" x14ac:dyDescent="0.2">
      <c r="U781" s="7"/>
    </row>
    <row r="782" spans="21:21" x14ac:dyDescent="0.2">
      <c r="U782" s="7"/>
    </row>
    <row r="783" spans="21:21" x14ac:dyDescent="0.2">
      <c r="U783" s="7"/>
    </row>
    <row r="784" spans="21:21" x14ac:dyDescent="0.2">
      <c r="U784" s="7"/>
    </row>
    <row r="785" spans="21:21" x14ac:dyDescent="0.2">
      <c r="U785" s="7"/>
    </row>
    <row r="786" spans="21:21" x14ac:dyDescent="0.2">
      <c r="U786" s="7"/>
    </row>
    <row r="787" spans="21:21" x14ac:dyDescent="0.2">
      <c r="U787" s="7"/>
    </row>
    <row r="788" spans="21:21" x14ac:dyDescent="0.2">
      <c r="U788" s="7"/>
    </row>
    <row r="789" spans="21:21" x14ac:dyDescent="0.2">
      <c r="U789" s="7"/>
    </row>
    <row r="790" spans="21:21" x14ac:dyDescent="0.2">
      <c r="U790" s="7"/>
    </row>
    <row r="791" spans="21:21" x14ac:dyDescent="0.2">
      <c r="U791" s="7"/>
    </row>
    <row r="792" spans="21:21" x14ac:dyDescent="0.2">
      <c r="U792" s="7"/>
    </row>
    <row r="793" spans="21:21" x14ac:dyDescent="0.2">
      <c r="U793" s="7"/>
    </row>
    <row r="794" spans="21:21" x14ac:dyDescent="0.2">
      <c r="U794" s="7"/>
    </row>
    <row r="795" spans="21:21" x14ac:dyDescent="0.2">
      <c r="U795" s="7"/>
    </row>
    <row r="796" spans="21:21" x14ac:dyDescent="0.2">
      <c r="U796" s="7"/>
    </row>
    <row r="797" spans="21:21" x14ac:dyDescent="0.2">
      <c r="U797" s="7"/>
    </row>
    <row r="798" spans="21:21" x14ac:dyDescent="0.2">
      <c r="U798" s="7"/>
    </row>
    <row r="799" spans="21:21" x14ac:dyDescent="0.2">
      <c r="U799" s="7"/>
    </row>
    <row r="800" spans="21:21" x14ac:dyDescent="0.2">
      <c r="U800" s="7"/>
    </row>
    <row r="801" spans="21:21" x14ac:dyDescent="0.2">
      <c r="U801" s="7"/>
    </row>
    <row r="802" spans="21:21" x14ac:dyDescent="0.2">
      <c r="U802" s="7"/>
    </row>
    <row r="803" spans="21:21" x14ac:dyDescent="0.2">
      <c r="U803" s="7"/>
    </row>
    <row r="804" spans="21:21" x14ac:dyDescent="0.2">
      <c r="U804" s="7"/>
    </row>
    <row r="805" spans="21:21" x14ac:dyDescent="0.2">
      <c r="U805" s="7"/>
    </row>
    <row r="806" spans="21:21" x14ac:dyDescent="0.2">
      <c r="U806" s="7"/>
    </row>
    <row r="807" spans="21:21" x14ac:dyDescent="0.2">
      <c r="U807" s="7"/>
    </row>
    <row r="808" spans="21:21" x14ac:dyDescent="0.2">
      <c r="U808" s="7"/>
    </row>
    <row r="809" spans="21:21" x14ac:dyDescent="0.2">
      <c r="U809" s="7"/>
    </row>
    <row r="810" spans="21:21" x14ac:dyDescent="0.2">
      <c r="U810" s="7"/>
    </row>
    <row r="811" spans="21:21" x14ac:dyDescent="0.2">
      <c r="U811" s="7"/>
    </row>
    <row r="812" spans="21:21" x14ac:dyDescent="0.2">
      <c r="U812" s="7"/>
    </row>
    <row r="813" spans="21:21" x14ac:dyDescent="0.2">
      <c r="U813" s="7"/>
    </row>
    <row r="814" spans="21:21" x14ac:dyDescent="0.2">
      <c r="U814" s="7"/>
    </row>
    <row r="815" spans="21:21" x14ac:dyDescent="0.2">
      <c r="U815" s="7"/>
    </row>
    <row r="816" spans="21:21" x14ac:dyDescent="0.2">
      <c r="U816" s="7"/>
    </row>
    <row r="817" spans="21:21" x14ac:dyDescent="0.2">
      <c r="U817" s="7"/>
    </row>
    <row r="818" spans="21:21" x14ac:dyDescent="0.2">
      <c r="U818" s="7"/>
    </row>
    <row r="819" spans="21:21" x14ac:dyDescent="0.2">
      <c r="U819" s="7"/>
    </row>
    <row r="820" spans="21:21" x14ac:dyDescent="0.2">
      <c r="U820" s="7"/>
    </row>
    <row r="821" spans="21:21" x14ac:dyDescent="0.2">
      <c r="U821" s="7"/>
    </row>
    <row r="822" spans="21:21" x14ac:dyDescent="0.2">
      <c r="U822" s="7"/>
    </row>
    <row r="823" spans="21:21" x14ac:dyDescent="0.2">
      <c r="U823" s="7"/>
    </row>
    <row r="824" spans="21:21" x14ac:dyDescent="0.2">
      <c r="U824" s="7"/>
    </row>
    <row r="825" spans="21:21" x14ac:dyDescent="0.2">
      <c r="U825" s="7"/>
    </row>
    <row r="826" spans="21:21" x14ac:dyDescent="0.2">
      <c r="U826" s="7"/>
    </row>
    <row r="827" spans="21:21" x14ac:dyDescent="0.2">
      <c r="U827" s="7"/>
    </row>
    <row r="828" spans="21:21" x14ac:dyDescent="0.2">
      <c r="U828" s="7"/>
    </row>
    <row r="829" spans="21:21" x14ac:dyDescent="0.2">
      <c r="U829" s="7"/>
    </row>
    <row r="830" spans="21:21" x14ac:dyDescent="0.2">
      <c r="U830" s="7"/>
    </row>
    <row r="831" spans="21:21" x14ac:dyDescent="0.2">
      <c r="U831" s="7"/>
    </row>
    <row r="832" spans="21:21" x14ac:dyDescent="0.2">
      <c r="U832" s="7"/>
    </row>
    <row r="833" spans="21:21" x14ac:dyDescent="0.2">
      <c r="U833" s="7"/>
    </row>
    <row r="834" spans="21:21" x14ac:dyDescent="0.2">
      <c r="U834" s="7"/>
    </row>
    <row r="835" spans="21:21" x14ac:dyDescent="0.2">
      <c r="U835" s="7"/>
    </row>
    <row r="836" spans="21:21" x14ac:dyDescent="0.2">
      <c r="U836" s="7"/>
    </row>
    <row r="837" spans="21:21" x14ac:dyDescent="0.2">
      <c r="U837" s="7"/>
    </row>
    <row r="838" spans="21:21" x14ac:dyDescent="0.2">
      <c r="U838" s="7"/>
    </row>
    <row r="839" spans="21:21" x14ac:dyDescent="0.2">
      <c r="U839" s="7"/>
    </row>
    <row r="840" spans="21:21" x14ac:dyDescent="0.2">
      <c r="U840" s="7"/>
    </row>
    <row r="841" spans="21:21" x14ac:dyDescent="0.2">
      <c r="U841" s="7"/>
    </row>
    <row r="842" spans="21:21" x14ac:dyDescent="0.2">
      <c r="U842" s="7"/>
    </row>
    <row r="843" spans="21:21" x14ac:dyDescent="0.2">
      <c r="U843" s="7"/>
    </row>
    <row r="844" spans="21:21" x14ac:dyDescent="0.2">
      <c r="U844" s="7"/>
    </row>
    <row r="845" spans="21:21" x14ac:dyDescent="0.2">
      <c r="U845" s="7"/>
    </row>
    <row r="846" spans="21:21" x14ac:dyDescent="0.2">
      <c r="U846" s="7"/>
    </row>
    <row r="847" spans="21:21" x14ac:dyDescent="0.2">
      <c r="U847" s="7"/>
    </row>
    <row r="848" spans="21:21" x14ac:dyDescent="0.2">
      <c r="U848" s="7"/>
    </row>
    <row r="849" spans="21:21" x14ac:dyDescent="0.2">
      <c r="U849" s="7"/>
    </row>
    <row r="850" spans="21:21" x14ac:dyDescent="0.2">
      <c r="U850" s="7"/>
    </row>
    <row r="851" spans="21:21" x14ac:dyDescent="0.2">
      <c r="U851" s="7"/>
    </row>
    <row r="852" spans="21:21" x14ac:dyDescent="0.2">
      <c r="U852" s="7"/>
    </row>
    <row r="853" spans="21:21" x14ac:dyDescent="0.2">
      <c r="U853" s="7"/>
    </row>
    <row r="854" spans="21:21" x14ac:dyDescent="0.2">
      <c r="U854" s="7"/>
    </row>
    <row r="855" spans="21:21" x14ac:dyDescent="0.2">
      <c r="U855" s="7"/>
    </row>
    <row r="856" spans="21:21" x14ac:dyDescent="0.2">
      <c r="U856" s="7"/>
    </row>
    <row r="857" spans="21:21" x14ac:dyDescent="0.2">
      <c r="U857" s="7"/>
    </row>
    <row r="858" spans="21:21" x14ac:dyDescent="0.2">
      <c r="U858" s="7"/>
    </row>
    <row r="859" spans="21:21" x14ac:dyDescent="0.2">
      <c r="U859" s="7"/>
    </row>
    <row r="860" spans="21:21" x14ac:dyDescent="0.2">
      <c r="U860" s="7"/>
    </row>
    <row r="861" spans="21:21" x14ac:dyDescent="0.2">
      <c r="U861" s="7"/>
    </row>
    <row r="862" spans="21:21" x14ac:dyDescent="0.2">
      <c r="U862" s="7"/>
    </row>
    <row r="863" spans="21:21" x14ac:dyDescent="0.2">
      <c r="U863" s="7"/>
    </row>
    <row r="864" spans="21:21" x14ac:dyDescent="0.2">
      <c r="U864" s="7"/>
    </row>
    <row r="865" spans="21:21" x14ac:dyDescent="0.2">
      <c r="U865" s="7"/>
    </row>
    <row r="866" spans="21:21" x14ac:dyDescent="0.2">
      <c r="U866" s="7"/>
    </row>
    <row r="867" spans="21:21" x14ac:dyDescent="0.2">
      <c r="U867" s="7"/>
    </row>
    <row r="868" spans="21:21" x14ac:dyDescent="0.2">
      <c r="U868" s="7"/>
    </row>
    <row r="869" spans="21:21" x14ac:dyDescent="0.2">
      <c r="U869" s="7"/>
    </row>
    <row r="870" spans="21:21" x14ac:dyDescent="0.2">
      <c r="U870" s="7"/>
    </row>
    <row r="871" spans="21:21" x14ac:dyDescent="0.2">
      <c r="U871" s="7"/>
    </row>
    <row r="872" spans="21:21" x14ac:dyDescent="0.2">
      <c r="U872" s="7"/>
    </row>
    <row r="873" spans="21:21" x14ac:dyDescent="0.2">
      <c r="U873" s="7"/>
    </row>
    <row r="874" spans="21:21" x14ac:dyDescent="0.2">
      <c r="U874" s="7"/>
    </row>
    <row r="875" spans="21:21" x14ac:dyDescent="0.2">
      <c r="U875" s="7"/>
    </row>
    <row r="876" spans="21:21" x14ac:dyDescent="0.2">
      <c r="U876" s="7"/>
    </row>
    <row r="877" spans="21:21" x14ac:dyDescent="0.2">
      <c r="U877" s="7"/>
    </row>
    <row r="878" spans="21:21" x14ac:dyDescent="0.2">
      <c r="U878" s="7"/>
    </row>
    <row r="879" spans="21:21" x14ac:dyDescent="0.2">
      <c r="U879" s="7"/>
    </row>
    <row r="880" spans="21:21" x14ac:dyDescent="0.2">
      <c r="U880" s="7"/>
    </row>
    <row r="881" spans="21:21" x14ac:dyDescent="0.2">
      <c r="U881" s="7"/>
    </row>
    <row r="882" spans="21:21" x14ac:dyDescent="0.2">
      <c r="U882" s="7"/>
    </row>
    <row r="883" spans="21:21" x14ac:dyDescent="0.2">
      <c r="U883" s="7"/>
    </row>
    <row r="884" spans="21:21" x14ac:dyDescent="0.2">
      <c r="U884" s="7"/>
    </row>
    <row r="885" spans="21:21" x14ac:dyDescent="0.2">
      <c r="U885" s="7"/>
    </row>
    <row r="886" spans="21:21" x14ac:dyDescent="0.2">
      <c r="U886" s="7"/>
    </row>
    <row r="887" spans="21:21" x14ac:dyDescent="0.2">
      <c r="U887" s="7"/>
    </row>
    <row r="888" spans="21:21" x14ac:dyDescent="0.2">
      <c r="U888" s="7"/>
    </row>
    <row r="889" spans="21:21" x14ac:dyDescent="0.2">
      <c r="U889" s="7"/>
    </row>
    <row r="890" spans="21:21" x14ac:dyDescent="0.2">
      <c r="U890" s="7"/>
    </row>
    <row r="891" spans="21:21" x14ac:dyDescent="0.2">
      <c r="U891" s="7"/>
    </row>
    <row r="892" spans="21:21" x14ac:dyDescent="0.2">
      <c r="U892" s="7"/>
    </row>
    <row r="893" spans="21:21" x14ac:dyDescent="0.2">
      <c r="U893" s="7"/>
    </row>
    <row r="894" spans="21:21" x14ac:dyDescent="0.2">
      <c r="U894" s="7"/>
    </row>
    <row r="895" spans="21:21" x14ac:dyDescent="0.2">
      <c r="U895" s="7"/>
    </row>
    <row r="896" spans="21:21" x14ac:dyDescent="0.2">
      <c r="U896" s="7"/>
    </row>
    <row r="897" spans="21:21" x14ac:dyDescent="0.2">
      <c r="U897" s="7"/>
    </row>
    <row r="898" spans="21:21" x14ac:dyDescent="0.2">
      <c r="U898" s="7"/>
    </row>
    <row r="899" spans="21:21" x14ac:dyDescent="0.2">
      <c r="U899" s="7"/>
    </row>
    <row r="900" spans="21:21" x14ac:dyDescent="0.2">
      <c r="U900" s="7"/>
    </row>
    <row r="901" spans="21:21" x14ac:dyDescent="0.2">
      <c r="U901" s="7"/>
    </row>
    <row r="902" spans="21:21" x14ac:dyDescent="0.2">
      <c r="U902" s="7"/>
    </row>
    <row r="903" spans="21:21" x14ac:dyDescent="0.2">
      <c r="U903" s="7"/>
    </row>
    <row r="904" spans="21:21" x14ac:dyDescent="0.2">
      <c r="U904" s="7"/>
    </row>
    <row r="905" spans="21:21" x14ac:dyDescent="0.2">
      <c r="U905" s="7"/>
    </row>
    <row r="906" spans="21:21" x14ac:dyDescent="0.2">
      <c r="U906" s="7"/>
    </row>
    <row r="907" spans="21:21" x14ac:dyDescent="0.2">
      <c r="U907" s="7"/>
    </row>
    <row r="908" spans="21:21" x14ac:dyDescent="0.2">
      <c r="U908" s="7"/>
    </row>
    <row r="909" spans="21:21" x14ac:dyDescent="0.2">
      <c r="U909" s="7"/>
    </row>
    <row r="910" spans="21:21" x14ac:dyDescent="0.2">
      <c r="U910" s="7"/>
    </row>
    <row r="911" spans="21:21" x14ac:dyDescent="0.2">
      <c r="U911" s="7"/>
    </row>
    <row r="912" spans="21:21" x14ac:dyDescent="0.2">
      <c r="U912" s="7"/>
    </row>
    <row r="913" spans="21:21" x14ac:dyDescent="0.2">
      <c r="U913" s="7"/>
    </row>
    <row r="914" spans="21:21" x14ac:dyDescent="0.2">
      <c r="U914" s="7"/>
    </row>
    <row r="915" spans="21:21" x14ac:dyDescent="0.2">
      <c r="U915" s="7"/>
    </row>
    <row r="916" spans="21:21" x14ac:dyDescent="0.2">
      <c r="U916" s="7"/>
    </row>
    <row r="917" spans="21:21" x14ac:dyDescent="0.2">
      <c r="U917" s="7"/>
    </row>
    <row r="918" spans="21:21" x14ac:dyDescent="0.2">
      <c r="U918" s="7"/>
    </row>
    <row r="919" spans="21:21" x14ac:dyDescent="0.2">
      <c r="U919" s="7"/>
    </row>
    <row r="920" spans="21:21" x14ac:dyDescent="0.2">
      <c r="U920" s="7"/>
    </row>
    <row r="921" spans="21:21" x14ac:dyDescent="0.2">
      <c r="U921" s="7"/>
    </row>
    <row r="922" spans="21:21" x14ac:dyDescent="0.2">
      <c r="U922" s="7"/>
    </row>
    <row r="923" spans="21:21" x14ac:dyDescent="0.2">
      <c r="U923" s="7"/>
    </row>
    <row r="924" spans="21:21" x14ac:dyDescent="0.2">
      <c r="U924" s="7"/>
    </row>
    <row r="925" spans="21:21" x14ac:dyDescent="0.2">
      <c r="U925" s="7"/>
    </row>
    <row r="926" spans="21:21" x14ac:dyDescent="0.2">
      <c r="U926" s="7"/>
    </row>
    <row r="927" spans="21:21" x14ac:dyDescent="0.2">
      <c r="U927" s="7"/>
    </row>
    <row r="928" spans="21:21" x14ac:dyDescent="0.2">
      <c r="U928" s="7"/>
    </row>
    <row r="929" spans="21:21" x14ac:dyDescent="0.2">
      <c r="U929" s="7"/>
    </row>
    <row r="930" spans="21:21" x14ac:dyDescent="0.2">
      <c r="U930" s="7"/>
    </row>
    <row r="931" spans="21:21" x14ac:dyDescent="0.2">
      <c r="U931" s="7"/>
    </row>
    <row r="932" spans="21:21" x14ac:dyDescent="0.2">
      <c r="U932" s="7"/>
    </row>
    <row r="933" spans="21:21" x14ac:dyDescent="0.2">
      <c r="U933" s="7"/>
    </row>
    <row r="934" spans="21:21" x14ac:dyDescent="0.2">
      <c r="U934" s="7"/>
    </row>
    <row r="935" spans="21:21" x14ac:dyDescent="0.2">
      <c r="U935" s="7"/>
    </row>
    <row r="936" spans="21:21" x14ac:dyDescent="0.2">
      <c r="U936" s="7"/>
    </row>
    <row r="937" spans="21:21" x14ac:dyDescent="0.2">
      <c r="U937" s="7"/>
    </row>
    <row r="938" spans="21:21" x14ac:dyDescent="0.2">
      <c r="U938" s="7"/>
    </row>
    <row r="939" spans="21:21" x14ac:dyDescent="0.2">
      <c r="U939" s="7"/>
    </row>
    <row r="940" spans="21:21" x14ac:dyDescent="0.2">
      <c r="U940" s="7"/>
    </row>
    <row r="941" spans="21:21" x14ac:dyDescent="0.2">
      <c r="U941" s="7"/>
    </row>
    <row r="942" spans="21:21" x14ac:dyDescent="0.2">
      <c r="U942" s="7"/>
    </row>
    <row r="943" spans="21:21" x14ac:dyDescent="0.2">
      <c r="U943" s="7"/>
    </row>
    <row r="944" spans="21:21" x14ac:dyDescent="0.2">
      <c r="U944" s="7"/>
    </row>
    <row r="945" spans="21:21" x14ac:dyDescent="0.2">
      <c r="U945" s="7"/>
    </row>
    <row r="946" spans="21:21" x14ac:dyDescent="0.2">
      <c r="U946" s="7"/>
    </row>
    <row r="947" spans="21:21" x14ac:dyDescent="0.2">
      <c r="U947" s="7"/>
    </row>
    <row r="948" spans="21:21" x14ac:dyDescent="0.2">
      <c r="U948" s="7"/>
    </row>
    <row r="949" spans="21:21" x14ac:dyDescent="0.2">
      <c r="U949" s="7"/>
    </row>
    <row r="950" spans="21:21" x14ac:dyDescent="0.2">
      <c r="U950" s="7"/>
    </row>
    <row r="951" spans="21:21" x14ac:dyDescent="0.2">
      <c r="U951" s="7"/>
    </row>
    <row r="952" spans="21:21" x14ac:dyDescent="0.2">
      <c r="U952" s="7"/>
    </row>
    <row r="953" spans="21:21" x14ac:dyDescent="0.2">
      <c r="U953" s="7"/>
    </row>
    <row r="954" spans="21:21" x14ac:dyDescent="0.2">
      <c r="U954" s="7"/>
    </row>
    <row r="955" spans="21:21" x14ac:dyDescent="0.2">
      <c r="U955" s="7"/>
    </row>
    <row r="956" spans="21:21" x14ac:dyDescent="0.2">
      <c r="U956" s="7"/>
    </row>
    <row r="957" spans="21:21" x14ac:dyDescent="0.2">
      <c r="U957" s="7"/>
    </row>
    <row r="958" spans="21:21" x14ac:dyDescent="0.2">
      <c r="U958" s="7"/>
    </row>
    <row r="959" spans="21:21" x14ac:dyDescent="0.2">
      <c r="U959" s="7"/>
    </row>
    <row r="960" spans="21:21" x14ac:dyDescent="0.2">
      <c r="U960" s="7"/>
    </row>
    <row r="961" spans="21:21" x14ac:dyDescent="0.2">
      <c r="U961" s="7"/>
    </row>
    <row r="962" spans="21:21" x14ac:dyDescent="0.2">
      <c r="U962" s="7"/>
    </row>
    <row r="963" spans="21:21" x14ac:dyDescent="0.2">
      <c r="U963" s="7"/>
    </row>
    <row r="964" spans="21:21" x14ac:dyDescent="0.2">
      <c r="U964" s="7"/>
    </row>
    <row r="965" spans="21:21" x14ac:dyDescent="0.2">
      <c r="U965" s="7"/>
    </row>
    <row r="966" spans="21:21" x14ac:dyDescent="0.2">
      <c r="U966" s="7"/>
    </row>
    <row r="967" spans="21:21" x14ac:dyDescent="0.2">
      <c r="U967" s="7"/>
    </row>
    <row r="968" spans="21:21" x14ac:dyDescent="0.2">
      <c r="U968" s="7"/>
    </row>
    <row r="969" spans="21:21" x14ac:dyDescent="0.2">
      <c r="U969" s="7"/>
    </row>
    <row r="970" spans="21:21" x14ac:dyDescent="0.2">
      <c r="U970" s="7"/>
    </row>
    <row r="971" spans="21:21" x14ac:dyDescent="0.2">
      <c r="U971" s="7"/>
    </row>
    <row r="972" spans="21:21" x14ac:dyDescent="0.2">
      <c r="U972" s="7"/>
    </row>
    <row r="973" spans="21:21" x14ac:dyDescent="0.2">
      <c r="U973" s="7"/>
    </row>
    <row r="974" spans="21:21" x14ac:dyDescent="0.2">
      <c r="U974" s="7"/>
    </row>
    <row r="975" spans="21:21" x14ac:dyDescent="0.2">
      <c r="U975" s="7"/>
    </row>
    <row r="976" spans="21:21" x14ac:dyDescent="0.2">
      <c r="U976" s="7"/>
    </row>
    <row r="977" spans="21:21" x14ac:dyDescent="0.2">
      <c r="U977" s="7"/>
    </row>
    <row r="978" spans="21:21" x14ac:dyDescent="0.2">
      <c r="U978" s="7"/>
    </row>
    <row r="979" spans="21:21" x14ac:dyDescent="0.2">
      <c r="U979" s="7"/>
    </row>
    <row r="980" spans="21:21" x14ac:dyDescent="0.2">
      <c r="U980" s="7"/>
    </row>
    <row r="981" spans="21:21" x14ac:dyDescent="0.2">
      <c r="U981" s="7"/>
    </row>
    <row r="982" spans="21:21" x14ac:dyDescent="0.2">
      <c r="U982" s="7"/>
    </row>
    <row r="983" spans="21:21" x14ac:dyDescent="0.2">
      <c r="U983" s="7"/>
    </row>
    <row r="984" spans="21:21" x14ac:dyDescent="0.2">
      <c r="U984" s="7"/>
    </row>
    <row r="985" spans="21:21" x14ac:dyDescent="0.2">
      <c r="U985" s="7"/>
    </row>
    <row r="986" spans="21:21" x14ac:dyDescent="0.2">
      <c r="U986" s="7"/>
    </row>
    <row r="987" spans="21:21" x14ac:dyDescent="0.2">
      <c r="U987" s="7"/>
    </row>
    <row r="988" spans="21:21" x14ac:dyDescent="0.2">
      <c r="U988" s="7"/>
    </row>
    <row r="989" spans="21:21" x14ac:dyDescent="0.2">
      <c r="U989" s="7"/>
    </row>
    <row r="990" spans="21:21" x14ac:dyDescent="0.2">
      <c r="U990" s="7"/>
    </row>
    <row r="991" spans="21:21" x14ac:dyDescent="0.2">
      <c r="U991" s="7"/>
    </row>
    <row r="992" spans="21:21" x14ac:dyDescent="0.2">
      <c r="U992" s="7"/>
    </row>
    <row r="993" spans="21:21" x14ac:dyDescent="0.2">
      <c r="U993" s="7"/>
    </row>
    <row r="994" spans="21:21" x14ac:dyDescent="0.2">
      <c r="U994" s="7"/>
    </row>
    <row r="995" spans="21:21" x14ac:dyDescent="0.2">
      <c r="U995" s="7"/>
    </row>
    <row r="996" spans="21:21" x14ac:dyDescent="0.2">
      <c r="U996" s="7"/>
    </row>
    <row r="997" spans="21:21" x14ac:dyDescent="0.2">
      <c r="U997" s="7"/>
    </row>
    <row r="998" spans="21:21" x14ac:dyDescent="0.2">
      <c r="U998" s="7"/>
    </row>
    <row r="999" spans="21:21" x14ac:dyDescent="0.2">
      <c r="U999" s="7"/>
    </row>
    <row r="1000" spans="21:21" x14ac:dyDescent="0.2">
      <c r="U1000" s="7"/>
    </row>
    <row r="1001" spans="21:21" x14ac:dyDescent="0.2">
      <c r="U1001" s="7"/>
    </row>
    <row r="1002" spans="21:21" x14ac:dyDescent="0.2">
      <c r="U1002" s="7"/>
    </row>
    <row r="1003" spans="21:21" x14ac:dyDescent="0.2">
      <c r="U1003" s="7"/>
    </row>
    <row r="1004" spans="21:21" x14ac:dyDescent="0.2">
      <c r="U1004" s="7"/>
    </row>
    <row r="1005" spans="21:21" x14ac:dyDescent="0.2">
      <c r="U1005" s="7"/>
    </row>
    <row r="1006" spans="21:21" x14ac:dyDescent="0.2">
      <c r="U1006" s="7"/>
    </row>
    <row r="1007" spans="21:21" x14ac:dyDescent="0.2">
      <c r="U1007" s="7"/>
    </row>
    <row r="1008" spans="21:21" x14ac:dyDescent="0.2">
      <c r="U1008" s="7"/>
    </row>
    <row r="1009" spans="21:21" x14ac:dyDescent="0.2">
      <c r="U1009" s="7"/>
    </row>
    <row r="1010" spans="21:21" x14ac:dyDescent="0.2">
      <c r="U1010" s="7"/>
    </row>
    <row r="1011" spans="21:21" x14ac:dyDescent="0.2">
      <c r="U1011" s="7"/>
    </row>
    <row r="1012" spans="21:21" x14ac:dyDescent="0.2">
      <c r="U1012" s="7"/>
    </row>
    <row r="1013" spans="21:21" x14ac:dyDescent="0.2">
      <c r="U1013" s="7"/>
    </row>
    <row r="1014" spans="21:21" x14ac:dyDescent="0.2">
      <c r="U1014" s="7"/>
    </row>
    <row r="1015" spans="21:21" x14ac:dyDescent="0.2">
      <c r="U1015" s="7"/>
    </row>
    <row r="1016" spans="21:21" x14ac:dyDescent="0.2">
      <c r="U1016" s="7"/>
    </row>
    <row r="1017" spans="21:21" x14ac:dyDescent="0.2">
      <c r="U1017" s="7"/>
    </row>
    <row r="1018" spans="21:21" x14ac:dyDescent="0.2">
      <c r="U1018" s="7"/>
    </row>
    <row r="1019" spans="21:21" x14ac:dyDescent="0.2">
      <c r="U1019" s="7"/>
    </row>
    <row r="1020" spans="21:21" x14ac:dyDescent="0.2">
      <c r="U1020" s="7"/>
    </row>
    <row r="1021" spans="21:21" x14ac:dyDescent="0.2">
      <c r="U1021" s="7"/>
    </row>
    <row r="1022" spans="21:21" x14ac:dyDescent="0.2">
      <c r="U1022" s="7"/>
    </row>
    <row r="1023" spans="21:21" x14ac:dyDescent="0.2">
      <c r="U1023" s="7"/>
    </row>
    <row r="1024" spans="21:21" x14ac:dyDescent="0.2">
      <c r="U1024" s="7"/>
    </row>
    <row r="1025" spans="21:21" x14ac:dyDescent="0.2">
      <c r="U1025" s="7"/>
    </row>
    <row r="1026" spans="21:21" x14ac:dyDescent="0.2">
      <c r="U1026" s="7"/>
    </row>
    <row r="1027" spans="21:21" x14ac:dyDescent="0.2">
      <c r="U1027" s="7"/>
    </row>
    <row r="1028" spans="21:21" x14ac:dyDescent="0.2">
      <c r="U1028" s="7"/>
    </row>
    <row r="1029" spans="21:21" x14ac:dyDescent="0.2">
      <c r="U1029" s="7"/>
    </row>
    <row r="1030" spans="21:21" x14ac:dyDescent="0.2">
      <c r="U1030" s="7"/>
    </row>
    <row r="1031" spans="21:21" x14ac:dyDescent="0.2">
      <c r="U1031" s="7"/>
    </row>
    <row r="1032" spans="21:21" x14ac:dyDescent="0.2">
      <c r="U1032" s="7"/>
    </row>
    <row r="1033" spans="21:21" x14ac:dyDescent="0.2">
      <c r="U1033" s="7"/>
    </row>
    <row r="1034" spans="21:21" x14ac:dyDescent="0.2">
      <c r="U1034" s="7"/>
    </row>
    <row r="1035" spans="21:21" x14ac:dyDescent="0.2">
      <c r="U1035" s="7"/>
    </row>
    <row r="1036" spans="21:21" x14ac:dyDescent="0.2">
      <c r="U1036" s="7"/>
    </row>
    <row r="1037" spans="21:21" x14ac:dyDescent="0.2">
      <c r="U1037" s="7"/>
    </row>
    <row r="1038" spans="21:21" x14ac:dyDescent="0.2">
      <c r="U1038" s="7"/>
    </row>
    <row r="1039" spans="21:21" x14ac:dyDescent="0.2">
      <c r="U1039" s="7"/>
    </row>
    <row r="1040" spans="21:21" x14ac:dyDescent="0.2">
      <c r="U1040" s="7"/>
    </row>
    <row r="1041" spans="21:21" x14ac:dyDescent="0.2">
      <c r="U1041" s="7"/>
    </row>
    <row r="1042" spans="21:21" x14ac:dyDescent="0.2">
      <c r="U1042" s="7"/>
    </row>
    <row r="1043" spans="21:21" x14ac:dyDescent="0.2">
      <c r="U1043" s="7"/>
    </row>
    <row r="1044" spans="21:21" x14ac:dyDescent="0.2">
      <c r="U1044" s="7"/>
    </row>
    <row r="1045" spans="21:21" x14ac:dyDescent="0.2">
      <c r="U1045" s="7"/>
    </row>
    <row r="1046" spans="21:21" x14ac:dyDescent="0.2">
      <c r="U1046" s="7"/>
    </row>
    <row r="1047" spans="21:21" x14ac:dyDescent="0.2">
      <c r="U1047" s="7"/>
    </row>
    <row r="1048" spans="21:21" x14ac:dyDescent="0.2">
      <c r="U1048" s="7"/>
    </row>
    <row r="1049" spans="21:21" x14ac:dyDescent="0.2">
      <c r="U1049" s="7"/>
    </row>
    <row r="1050" spans="21:21" x14ac:dyDescent="0.2">
      <c r="U1050" s="7"/>
    </row>
    <row r="1051" spans="21:21" x14ac:dyDescent="0.2">
      <c r="U1051" s="7"/>
    </row>
    <row r="1052" spans="21:21" x14ac:dyDescent="0.2">
      <c r="U1052" s="7"/>
    </row>
    <row r="1053" spans="21:21" x14ac:dyDescent="0.2">
      <c r="U1053" s="7"/>
    </row>
    <row r="1054" spans="21:21" x14ac:dyDescent="0.2">
      <c r="U1054" s="7"/>
    </row>
    <row r="1055" spans="21:21" x14ac:dyDescent="0.2">
      <c r="U1055" s="7"/>
    </row>
    <row r="1056" spans="21:21" x14ac:dyDescent="0.2">
      <c r="U1056" s="7"/>
    </row>
    <row r="1057" spans="21:21" x14ac:dyDescent="0.2">
      <c r="U1057" s="7"/>
    </row>
    <row r="1058" spans="21:21" x14ac:dyDescent="0.2">
      <c r="U1058" s="7"/>
    </row>
    <row r="1059" spans="21:21" x14ac:dyDescent="0.2">
      <c r="U1059" s="7"/>
    </row>
    <row r="1060" spans="21:21" x14ac:dyDescent="0.2">
      <c r="U1060" s="7"/>
    </row>
    <row r="1061" spans="21:21" x14ac:dyDescent="0.2">
      <c r="U1061" s="7"/>
    </row>
    <row r="1062" spans="21:21" x14ac:dyDescent="0.2">
      <c r="U1062" s="7"/>
    </row>
    <row r="1063" spans="21:21" x14ac:dyDescent="0.2">
      <c r="U1063" s="7"/>
    </row>
    <row r="1064" spans="21:21" x14ac:dyDescent="0.2">
      <c r="U1064" s="7"/>
    </row>
    <row r="1065" spans="21:21" x14ac:dyDescent="0.2">
      <c r="U1065" s="7"/>
    </row>
    <row r="1066" spans="21:21" x14ac:dyDescent="0.2">
      <c r="U1066" s="7"/>
    </row>
    <row r="1067" spans="21:21" x14ac:dyDescent="0.2">
      <c r="U1067" s="7"/>
    </row>
    <row r="1068" spans="21:21" x14ac:dyDescent="0.2">
      <c r="U1068" s="7"/>
    </row>
    <row r="1069" spans="21:21" x14ac:dyDescent="0.2">
      <c r="U1069" s="7"/>
    </row>
    <row r="1070" spans="21:21" x14ac:dyDescent="0.2">
      <c r="U1070" s="7"/>
    </row>
    <row r="1071" spans="21:21" x14ac:dyDescent="0.2">
      <c r="U1071" s="7"/>
    </row>
    <row r="1072" spans="21:21" x14ac:dyDescent="0.2">
      <c r="U1072" s="7"/>
    </row>
    <row r="1073" spans="21:21" x14ac:dyDescent="0.2">
      <c r="U1073" s="7"/>
    </row>
    <row r="1074" spans="21:21" x14ac:dyDescent="0.2">
      <c r="U1074" s="7"/>
    </row>
    <row r="1075" spans="21:21" x14ac:dyDescent="0.2">
      <c r="U1075" s="7"/>
    </row>
    <row r="1076" spans="21:21" x14ac:dyDescent="0.2">
      <c r="U1076" s="7"/>
    </row>
    <row r="1077" spans="21:21" x14ac:dyDescent="0.2">
      <c r="U1077" s="7"/>
    </row>
    <row r="1078" spans="21:21" x14ac:dyDescent="0.2">
      <c r="U1078" s="7"/>
    </row>
    <row r="1079" spans="21:21" x14ac:dyDescent="0.2">
      <c r="U1079" s="7"/>
    </row>
    <row r="1080" spans="21:21" x14ac:dyDescent="0.2">
      <c r="U1080" s="7"/>
    </row>
    <row r="1081" spans="21:21" x14ac:dyDescent="0.2">
      <c r="U1081" s="7"/>
    </row>
    <row r="1082" spans="21:21" x14ac:dyDescent="0.2">
      <c r="U1082" s="7"/>
    </row>
    <row r="1083" spans="21:21" x14ac:dyDescent="0.2">
      <c r="U1083" s="7"/>
    </row>
    <row r="1084" spans="21:21" x14ac:dyDescent="0.2">
      <c r="U1084" s="7"/>
    </row>
    <row r="1085" spans="21:21" x14ac:dyDescent="0.2">
      <c r="U1085" s="7"/>
    </row>
    <row r="1086" spans="21:21" x14ac:dyDescent="0.2">
      <c r="U1086" s="7"/>
    </row>
    <row r="1087" spans="21:21" x14ac:dyDescent="0.2">
      <c r="U1087" s="7"/>
    </row>
    <row r="1088" spans="21:21" x14ac:dyDescent="0.2">
      <c r="U1088" s="7"/>
    </row>
    <row r="1089" spans="21:21" x14ac:dyDescent="0.2">
      <c r="U1089" s="7"/>
    </row>
    <row r="1090" spans="21:21" x14ac:dyDescent="0.2">
      <c r="U1090" s="7"/>
    </row>
    <row r="1091" spans="21:21" x14ac:dyDescent="0.2">
      <c r="U1091" s="7"/>
    </row>
    <row r="1092" spans="21:21" x14ac:dyDescent="0.2">
      <c r="U1092" s="7"/>
    </row>
    <row r="1093" spans="21:21" x14ac:dyDescent="0.2">
      <c r="U1093" s="7"/>
    </row>
    <row r="1094" spans="21:21" x14ac:dyDescent="0.2">
      <c r="U1094" s="7"/>
    </row>
    <row r="1095" spans="21:21" x14ac:dyDescent="0.2">
      <c r="U1095" s="7"/>
    </row>
    <row r="1096" spans="21:21" x14ac:dyDescent="0.2">
      <c r="U1096" s="7"/>
    </row>
    <row r="1097" spans="21:21" x14ac:dyDescent="0.2">
      <c r="U1097" s="7"/>
    </row>
    <row r="1098" spans="21:21" x14ac:dyDescent="0.2">
      <c r="U1098" s="7"/>
    </row>
    <row r="1099" spans="21:21" x14ac:dyDescent="0.2">
      <c r="U1099" s="7"/>
    </row>
    <row r="1100" spans="21:21" x14ac:dyDescent="0.2">
      <c r="U1100" s="7"/>
    </row>
    <row r="1101" spans="21:21" x14ac:dyDescent="0.2">
      <c r="U1101" s="7"/>
    </row>
    <row r="1102" spans="21:21" x14ac:dyDescent="0.2">
      <c r="U1102" s="7"/>
    </row>
    <row r="1103" spans="21:21" x14ac:dyDescent="0.2">
      <c r="U1103" s="7"/>
    </row>
    <row r="1104" spans="21:21" x14ac:dyDescent="0.2">
      <c r="U1104" s="7"/>
    </row>
    <row r="1105" spans="21:21" x14ac:dyDescent="0.2">
      <c r="U1105" s="7"/>
    </row>
    <row r="1106" spans="21:21" x14ac:dyDescent="0.2">
      <c r="U1106" s="7"/>
    </row>
    <row r="1107" spans="21:21" x14ac:dyDescent="0.2">
      <c r="U1107" s="7"/>
    </row>
    <row r="1108" spans="21:21" x14ac:dyDescent="0.2">
      <c r="U1108" s="7"/>
    </row>
    <row r="1109" spans="21:21" x14ac:dyDescent="0.2">
      <c r="U1109" s="7"/>
    </row>
    <row r="1110" spans="21:21" x14ac:dyDescent="0.2">
      <c r="U1110" s="7"/>
    </row>
    <row r="1111" spans="21:21" x14ac:dyDescent="0.2">
      <c r="U1111" s="7"/>
    </row>
    <row r="1112" spans="21:21" x14ac:dyDescent="0.2">
      <c r="U1112" s="7"/>
    </row>
    <row r="1113" spans="21:21" x14ac:dyDescent="0.2">
      <c r="U1113" s="7"/>
    </row>
    <row r="1114" spans="21:21" x14ac:dyDescent="0.2">
      <c r="U1114" s="7"/>
    </row>
    <row r="1115" spans="21:21" x14ac:dyDescent="0.2">
      <c r="U1115" s="7"/>
    </row>
    <row r="1116" spans="21:21" x14ac:dyDescent="0.2">
      <c r="U1116" s="7"/>
    </row>
    <row r="1117" spans="21:21" x14ac:dyDescent="0.2">
      <c r="U1117" s="7"/>
    </row>
    <row r="1118" spans="21:21" x14ac:dyDescent="0.2">
      <c r="U1118" s="7"/>
    </row>
    <row r="1119" spans="21:21" x14ac:dyDescent="0.2">
      <c r="U1119" s="7"/>
    </row>
    <row r="1120" spans="21:21" x14ac:dyDescent="0.2">
      <c r="U1120" s="7"/>
    </row>
    <row r="1121" spans="21:21" x14ac:dyDescent="0.2">
      <c r="U1121" s="7"/>
    </row>
    <row r="1122" spans="21:21" x14ac:dyDescent="0.2">
      <c r="U1122" s="7"/>
    </row>
    <row r="1123" spans="21:21" x14ac:dyDescent="0.2">
      <c r="U1123" s="7"/>
    </row>
    <row r="1124" spans="21:21" x14ac:dyDescent="0.2">
      <c r="U1124" s="7"/>
    </row>
    <row r="1125" spans="21:21" x14ac:dyDescent="0.2">
      <c r="U1125" s="7"/>
    </row>
    <row r="1126" spans="21:21" x14ac:dyDescent="0.2">
      <c r="U1126" s="7"/>
    </row>
    <row r="1127" spans="21:21" x14ac:dyDescent="0.2">
      <c r="U1127" s="7"/>
    </row>
    <row r="1128" spans="21:21" x14ac:dyDescent="0.2">
      <c r="U1128" s="7"/>
    </row>
    <row r="1129" spans="21:21" x14ac:dyDescent="0.2">
      <c r="U1129" s="7"/>
    </row>
    <row r="1130" spans="21:21" x14ac:dyDescent="0.2">
      <c r="U1130" s="7"/>
    </row>
    <row r="1131" spans="21:21" x14ac:dyDescent="0.2">
      <c r="U1131" s="7"/>
    </row>
    <row r="1132" spans="21:21" x14ac:dyDescent="0.2">
      <c r="U1132" s="7"/>
    </row>
    <row r="1133" spans="21:21" x14ac:dyDescent="0.2">
      <c r="U1133" s="7"/>
    </row>
    <row r="1134" spans="21:21" x14ac:dyDescent="0.2">
      <c r="U1134" s="7"/>
    </row>
    <row r="1135" spans="21:21" x14ac:dyDescent="0.2">
      <c r="U1135" s="7"/>
    </row>
    <row r="1136" spans="21:21" x14ac:dyDescent="0.2">
      <c r="U1136" s="7"/>
    </row>
    <row r="1137" spans="21:21" x14ac:dyDescent="0.2">
      <c r="U1137" s="7"/>
    </row>
  </sheetData>
  <mergeCells count="1">
    <mergeCell ref="A5:B5"/>
  </mergeCells>
  <phoneticPr fontId="6" type="noConversion"/>
  <printOptions horizontalCentered="1" verticalCentered="1"/>
  <pageMargins left="0.19685039370078741" right="7.874015748031496E-2" top="0.19685039370078741" bottom="0.19685039370078741" header="0.19685039370078741" footer="0.15748031496062992"/>
  <pageSetup paperSize="8" scale="47" orientation="landscape" r:id="rId1"/>
  <headerFooter alignWithMargins="0"/>
  <colBreaks count="1" manualBreakCount="1">
    <brk id="7" max="4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P39"/>
  <sheetViews>
    <sheetView zoomScaleNormal="100" workbookViewId="0">
      <selection activeCell="L31" sqref="L31"/>
    </sheetView>
  </sheetViews>
  <sheetFormatPr defaultColWidth="9.140625" defaultRowHeight="12.75" x14ac:dyDescent="0.2"/>
  <cols>
    <col min="1" max="1" width="42.7109375" customWidth="1"/>
    <col min="2" max="2" width="9" customWidth="1"/>
    <col min="3" max="8" width="7.42578125" customWidth="1"/>
    <col min="9" max="9" width="7.5703125" customWidth="1"/>
    <col min="10" max="13" width="8" customWidth="1"/>
  </cols>
  <sheetData>
    <row r="1" spans="1:16" s="38" customFormat="1" ht="15.75" thickBot="1" x14ac:dyDescent="0.3">
      <c r="A1" s="25" t="s">
        <v>346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</row>
    <row r="2" spans="1:16" ht="13.5" thickBot="1" x14ac:dyDescent="0.25">
      <c r="A2" s="129"/>
      <c r="B2" s="130"/>
      <c r="C2" s="1243" t="s">
        <v>21</v>
      </c>
      <c r="D2" s="1241"/>
      <c r="E2" s="1241"/>
      <c r="F2" s="1241"/>
      <c r="G2" s="1241"/>
      <c r="H2" s="1241"/>
      <c r="I2" s="1241"/>
      <c r="J2" s="1240" t="s">
        <v>22</v>
      </c>
      <c r="K2" s="1241"/>
      <c r="L2" s="1241"/>
      <c r="M2" s="1242"/>
    </row>
    <row r="3" spans="1:16" ht="86.25" customHeight="1" x14ac:dyDescent="0.2">
      <c r="A3" s="131"/>
      <c r="B3" s="51" t="s">
        <v>119</v>
      </c>
      <c r="C3" s="445" t="s">
        <v>35</v>
      </c>
      <c r="D3" s="1213" t="s">
        <v>34</v>
      </c>
      <c r="E3" s="522" t="s">
        <v>43</v>
      </c>
      <c r="F3" s="445" t="s">
        <v>67</v>
      </c>
      <c r="G3" s="445" t="s">
        <v>106</v>
      </c>
      <c r="H3" s="445" t="s">
        <v>109</v>
      </c>
      <c r="I3" s="445" t="s">
        <v>208</v>
      </c>
      <c r="J3" s="600" t="s">
        <v>36</v>
      </c>
      <c r="K3" s="445" t="s">
        <v>64</v>
      </c>
      <c r="L3" s="445" t="s">
        <v>68</v>
      </c>
      <c r="M3" s="602" t="s">
        <v>73</v>
      </c>
    </row>
    <row r="4" spans="1:16" ht="15.6" customHeight="1" x14ac:dyDescent="0.2">
      <c r="A4" s="210" t="s">
        <v>24</v>
      </c>
      <c r="B4" s="1011"/>
      <c r="C4" s="446" t="s">
        <v>4</v>
      </c>
      <c r="D4" s="1214" t="s">
        <v>1</v>
      </c>
      <c r="E4" s="523" t="s">
        <v>1</v>
      </c>
      <c r="F4" s="446" t="s">
        <v>1</v>
      </c>
      <c r="G4" s="446" t="s">
        <v>2</v>
      </c>
      <c r="H4" s="446" t="s">
        <v>1</v>
      </c>
      <c r="I4" s="604" t="s">
        <v>2</v>
      </c>
      <c r="J4" s="601" t="s">
        <v>1</v>
      </c>
      <c r="K4" s="446" t="s">
        <v>1</v>
      </c>
      <c r="L4" s="1214" t="s">
        <v>1</v>
      </c>
      <c r="M4" s="603" t="s">
        <v>1</v>
      </c>
      <c r="P4" s="8"/>
    </row>
    <row r="5" spans="1:16" x14ac:dyDescent="0.2">
      <c r="A5" s="173" t="s">
        <v>78</v>
      </c>
      <c r="B5" s="950"/>
      <c r="C5" s="1064"/>
      <c r="D5" s="1064"/>
      <c r="E5" s="1064"/>
      <c r="F5" s="1064"/>
      <c r="G5" s="1064"/>
      <c r="H5" s="1064"/>
      <c r="I5" s="1064"/>
      <c r="J5" s="1065"/>
      <c r="K5" s="1064"/>
      <c r="L5" s="1064"/>
      <c r="M5" s="1066"/>
      <c r="P5" s="8"/>
    </row>
    <row r="6" spans="1:16" ht="17.25" customHeight="1" x14ac:dyDescent="0.2">
      <c r="A6" s="435" t="s">
        <v>249</v>
      </c>
      <c r="B6" s="180">
        <v>100</v>
      </c>
      <c r="C6" s="182">
        <v>104</v>
      </c>
      <c r="D6" s="137">
        <v>99</v>
      </c>
      <c r="E6" s="181">
        <v>101</v>
      </c>
      <c r="F6" s="182">
        <v>98</v>
      </c>
      <c r="G6" s="182">
        <v>101</v>
      </c>
      <c r="H6" s="182">
        <v>99</v>
      </c>
      <c r="I6" s="182">
        <v>103</v>
      </c>
      <c r="J6" s="339">
        <v>100</v>
      </c>
      <c r="K6" s="74">
        <v>99</v>
      </c>
      <c r="L6" s="74">
        <v>102</v>
      </c>
      <c r="M6" s="1056">
        <v>100</v>
      </c>
      <c r="N6" s="16"/>
    </row>
    <row r="7" spans="1:16" ht="17.25" customHeight="1" x14ac:dyDescent="0.2">
      <c r="A7" s="433" t="s">
        <v>250</v>
      </c>
      <c r="B7" s="109">
        <v>100</v>
      </c>
      <c r="C7" s="184">
        <v>97</v>
      </c>
      <c r="D7" s="69">
        <v>98</v>
      </c>
      <c r="E7" s="68">
        <v>102</v>
      </c>
      <c r="F7" s="184">
        <v>99</v>
      </c>
      <c r="G7" s="184">
        <v>100</v>
      </c>
      <c r="H7" s="184">
        <v>101</v>
      </c>
      <c r="I7" s="184">
        <v>104</v>
      </c>
      <c r="J7" s="340">
        <v>100</v>
      </c>
      <c r="K7" s="70">
        <v>96</v>
      </c>
      <c r="L7" s="184">
        <v>100</v>
      </c>
      <c r="M7" s="641">
        <v>101</v>
      </c>
      <c r="N7" s="16"/>
      <c r="O7" s="16"/>
    </row>
    <row r="8" spans="1:16" ht="17.25" customHeight="1" x14ac:dyDescent="0.2">
      <c r="A8" s="433" t="s">
        <v>251</v>
      </c>
      <c r="B8" s="186">
        <v>100</v>
      </c>
      <c r="C8" s="184">
        <v>83</v>
      </c>
      <c r="D8" s="69">
        <v>96</v>
      </c>
      <c r="E8" s="68">
        <v>105</v>
      </c>
      <c r="F8" s="184">
        <v>98</v>
      </c>
      <c r="G8" s="184">
        <v>99</v>
      </c>
      <c r="H8" s="184">
        <v>106</v>
      </c>
      <c r="I8" s="184">
        <v>108</v>
      </c>
      <c r="J8" s="340">
        <v>95</v>
      </c>
      <c r="K8" s="70">
        <v>88</v>
      </c>
      <c r="L8" s="184">
        <v>101</v>
      </c>
      <c r="M8" s="641">
        <v>104</v>
      </c>
      <c r="N8" s="16"/>
      <c r="O8" s="16"/>
    </row>
    <row r="9" spans="1:16" ht="17.25" customHeight="1" x14ac:dyDescent="0.2">
      <c r="A9" s="424" t="s">
        <v>255</v>
      </c>
      <c r="B9" s="186">
        <v>100</v>
      </c>
      <c r="C9" s="184">
        <v>95.121951219512198</v>
      </c>
      <c r="D9" s="184">
        <v>97.731707317073173</v>
      </c>
      <c r="E9" s="184">
        <v>102.58536585365853</v>
      </c>
      <c r="F9" s="184">
        <v>98.317073170731703</v>
      </c>
      <c r="G9" s="184">
        <v>100.25</v>
      </c>
      <c r="H9" s="184">
        <v>101.37931034482759</v>
      </c>
      <c r="I9" s="184">
        <v>105</v>
      </c>
      <c r="J9" s="1023">
        <v>98.41463414634147</v>
      </c>
      <c r="K9" s="184">
        <v>94.560975609756099</v>
      </c>
      <c r="L9" s="184">
        <v>101.04878048780488</v>
      </c>
      <c r="M9" s="641">
        <v>101.58536585365853</v>
      </c>
      <c r="N9" s="16"/>
      <c r="O9" s="16"/>
    </row>
    <row r="10" spans="1:16" ht="17.25" customHeight="1" x14ac:dyDescent="0.2">
      <c r="A10" s="172" t="s">
        <v>219</v>
      </c>
      <c r="B10" s="1067"/>
      <c r="C10" s="1068"/>
      <c r="D10" s="1068"/>
      <c r="E10" s="1068"/>
      <c r="F10" s="1068"/>
      <c r="G10" s="1068"/>
      <c r="H10" s="1068"/>
      <c r="I10" s="1068"/>
      <c r="J10" s="1069"/>
      <c r="K10" s="1068"/>
      <c r="L10" s="1068"/>
      <c r="M10" s="1070"/>
      <c r="N10" s="16"/>
      <c r="O10" s="16"/>
    </row>
    <row r="11" spans="1:16" ht="17.25" customHeight="1" x14ac:dyDescent="0.2">
      <c r="A11" s="598" t="s">
        <v>220</v>
      </c>
      <c r="B11" s="75">
        <v>17.8</v>
      </c>
      <c r="C11" s="1024">
        <v>17.079999999999998</v>
      </c>
      <c r="D11" s="1025">
        <v>17.57</v>
      </c>
      <c r="E11" s="1026">
        <v>17.010000000000002</v>
      </c>
      <c r="F11" s="1024">
        <v>18.260000000000002</v>
      </c>
      <c r="G11" s="1024">
        <v>17.760000000000002</v>
      </c>
      <c r="H11" s="1024">
        <v>17.059999999999999</v>
      </c>
      <c r="I11" s="1024">
        <v>16.559999999999999</v>
      </c>
      <c r="J11" s="1027">
        <v>18.13</v>
      </c>
      <c r="K11" s="1028">
        <v>17.97</v>
      </c>
      <c r="L11" s="1024">
        <v>17.79</v>
      </c>
      <c r="M11" s="634">
        <v>18.03</v>
      </c>
      <c r="N11" s="16"/>
      <c r="O11" s="16"/>
    </row>
    <row r="12" spans="1:16" ht="17.25" customHeight="1" x14ac:dyDescent="0.2">
      <c r="A12" s="568" t="s">
        <v>221</v>
      </c>
      <c r="B12" s="77">
        <v>19.78</v>
      </c>
      <c r="C12" s="1029">
        <v>19.55</v>
      </c>
      <c r="D12" s="1030">
        <v>19.510000000000002</v>
      </c>
      <c r="E12" s="1031">
        <v>18.66</v>
      </c>
      <c r="F12" s="1030">
        <v>19.62</v>
      </c>
      <c r="G12" s="1029">
        <v>19.47</v>
      </c>
      <c r="H12" s="1029">
        <v>18.34</v>
      </c>
      <c r="I12" s="1032">
        <v>18.239999999999998</v>
      </c>
      <c r="J12" s="1033">
        <v>20.21</v>
      </c>
      <c r="K12" s="1034">
        <v>19.68</v>
      </c>
      <c r="L12" s="1029">
        <v>20.51</v>
      </c>
      <c r="M12" s="185">
        <v>20.18</v>
      </c>
      <c r="N12" s="16"/>
      <c r="O12" s="16"/>
    </row>
    <row r="13" spans="1:16" ht="16.5" customHeight="1" x14ac:dyDescent="0.2">
      <c r="A13" s="567" t="s">
        <v>222</v>
      </c>
      <c r="B13" s="136">
        <v>19.97</v>
      </c>
      <c r="C13" s="1035">
        <v>19.16</v>
      </c>
      <c r="D13" s="359">
        <v>19.7</v>
      </c>
      <c r="E13" s="1031">
        <v>19</v>
      </c>
      <c r="F13" s="359">
        <v>20.28</v>
      </c>
      <c r="G13" s="1035">
        <v>19.09</v>
      </c>
      <c r="H13" s="1035">
        <v>18.62</v>
      </c>
      <c r="I13" s="1036">
        <v>19.190000000000001</v>
      </c>
      <c r="J13" s="1037">
        <v>20.45</v>
      </c>
      <c r="K13" s="1038">
        <v>19.78</v>
      </c>
      <c r="L13" s="1035">
        <v>20.239999999999998</v>
      </c>
      <c r="M13" s="183">
        <v>20.16</v>
      </c>
      <c r="N13" s="16"/>
      <c r="O13" s="16"/>
    </row>
    <row r="14" spans="1:16" ht="17.25" customHeight="1" x14ac:dyDescent="0.2">
      <c r="A14" s="172" t="s">
        <v>13</v>
      </c>
      <c r="B14" s="1067"/>
      <c r="C14" s="1071"/>
      <c r="D14" s="1072"/>
      <c r="E14" s="1071"/>
      <c r="F14" s="1071"/>
      <c r="G14" s="1068"/>
      <c r="H14" s="1068"/>
      <c r="I14" s="1068"/>
      <c r="J14" s="1069"/>
      <c r="K14" s="1071"/>
      <c r="L14" s="1071"/>
      <c r="M14" s="1070"/>
      <c r="N14" s="16"/>
      <c r="O14" s="16"/>
    </row>
    <row r="15" spans="1:16" ht="17.25" customHeight="1" x14ac:dyDescent="0.2">
      <c r="A15" s="176" t="s">
        <v>91</v>
      </c>
      <c r="B15" s="190">
        <v>71.2</v>
      </c>
      <c r="C15" s="1039">
        <v>69.7</v>
      </c>
      <c r="D15" s="74">
        <v>70.5</v>
      </c>
      <c r="E15" s="1040">
        <v>68.599999999999994</v>
      </c>
      <c r="F15" s="1039">
        <v>73.400000000000006</v>
      </c>
      <c r="G15" s="1039">
        <v>69.3</v>
      </c>
      <c r="H15" s="1039">
        <v>66.400000000000006</v>
      </c>
      <c r="I15" s="1039">
        <v>71.5</v>
      </c>
      <c r="J15" s="1041">
        <v>72.400000000000006</v>
      </c>
      <c r="K15" s="1042">
        <v>65</v>
      </c>
      <c r="L15" s="1039">
        <v>70.400000000000006</v>
      </c>
      <c r="M15" s="1057">
        <v>71.7</v>
      </c>
      <c r="N15" s="16"/>
      <c r="O15" s="16"/>
    </row>
    <row r="16" spans="1:16" ht="17.25" customHeight="1" x14ac:dyDescent="0.2">
      <c r="A16" s="177" t="s">
        <v>89</v>
      </c>
      <c r="B16" s="186">
        <v>61.6</v>
      </c>
      <c r="C16" s="187">
        <v>50</v>
      </c>
      <c r="D16" s="139">
        <v>60.1</v>
      </c>
      <c r="E16" s="140">
        <v>59.4</v>
      </c>
      <c r="F16" s="187">
        <v>66.2</v>
      </c>
      <c r="G16" s="187">
        <v>60.6</v>
      </c>
      <c r="H16" s="187">
        <v>58.2</v>
      </c>
      <c r="I16" s="187">
        <v>62.5</v>
      </c>
      <c r="J16" s="342">
        <v>60.9</v>
      </c>
      <c r="K16" s="143">
        <v>50.3</v>
      </c>
      <c r="L16" s="187">
        <v>61.3</v>
      </c>
      <c r="M16" s="645">
        <v>61.8</v>
      </c>
      <c r="N16" s="16"/>
      <c r="O16" s="16"/>
    </row>
    <row r="17" spans="1:16" ht="17.25" customHeight="1" x14ac:dyDescent="0.2">
      <c r="A17" s="177" t="s">
        <v>20</v>
      </c>
      <c r="B17" s="186">
        <v>50.1</v>
      </c>
      <c r="C17" s="187">
        <v>32.700000000000003</v>
      </c>
      <c r="D17" s="139">
        <v>51.3</v>
      </c>
      <c r="E17" s="140">
        <v>48.7</v>
      </c>
      <c r="F17" s="187">
        <v>55.7</v>
      </c>
      <c r="G17" s="187">
        <v>46.3</v>
      </c>
      <c r="H17" s="187">
        <v>47.7</v>
      </c>
      <c r="I17" s="187">
        <v>51.7</v>
      </c>
      <c r="J17" s="342">
        <v>45.8</v>
      </c>
      <c r="K17" s="143">
        <v>36.6</v>
      </c>
      <c r="L17" s="187">
        <v>49.3</v>
      </c>
      <c r="M17" s="645">
        <v>50</v>
      </c>
      <c r="N17" s="16"/>
      <c r="O17" s="16"/>
    </row>
    <row r="18" spans="1:16" ht="15.6" customHeight="1" x14ac:dyDescent="0.2">
      <c r="A18" s="599" t="s">
        <v>223</v>
      </c>
      <c r="B18" s="1073"/>
      <c r="C18" s="1074"/>
      <c r="D18" s="1074"/>
      <c r="E18" s="1074"/>
      <c r="F18" s="1074"/>
      <c r="G18" s="1074"/>
      <c r="H18" s="1074"/>
      <c r="I18" s="1075"/>
      <c r="J18" s="1076"/>
      <c r="K18" s="1075"/>
      <c r="L18" s="1074"/>
      <c r="M18" s="1077"/>
      <c r="O18" s="16"/>
      <c r="P18" s="8"/>
    </row>
    <row r="19" spans="1:16" ht="15.75" customHeight="1" x14ac:dyDescent="0.2">
      <c r="A19" s="175" t="s">
        <v>25</v>
      </c>
      <c r="B19" s="962"/>
      <c r="C19" s="1061"/>
      <c r="D19" s="1061"/>
      <c r="E19" s="1061"/>
      <c r="F19" s="1061"/>
      <c r="G19" s="1061"/>
      <c r="H19" s="1061"/>
      <c r="I19" s="1061"/>
      <c r="J19" s="1062"/>
      <c r="K19" s="1061"/>
      <c r="L19" s="1061"/>
      <c r="M19" s="1063"/>
      <c r="N19" s="16"/>
      <c r="O19" s="16"/>
    </row>
    <row r="20" spans="1:16" ht="17.25" customHeight="1" x14ac:dyDescent="0.2">
      <c r="A20" s="434" t="s">
        <v>252</v>
      </c>
      <c r="B20" s="189">
        <v>100</v>
      </c>
      <c r="C20" s="182">
        <v>105</v>
      </c>
      <c r="D20" s="137">
        <v>99</v>
      </c>
      <c r="E20" s="181">
        <v>96</v>
      </c>
      <c r="F20" s="182">
        <v>101</v>
      </c>
      <c r="G20" s="182">
        <v>102</v>
      </c>
      <c r="H20" s="182">
        <v>91</v>
      </c>
      <c r="I20" s="182">
        <v>104</v>
      </c>
      <c r="J20" s="341">
        <v>100</v>
      </c>
      <c r="K20" s="1043">
        <v>98</v>
      </c>
      <c r="L20" s="182">
        <v>103</v>
      </c>
      <c r="M20" s="639">
        <v>101</v>
      </c>
      <c r="N20" s="16"/>
      <c r="O20" s="16"/>
    </row>
    <row r="21" spans="1:16" ht="17.25" customHeight="1" x14ac:dyDescent="0.2">
      <c r="A21" s="576" t="s">
        <v>256</v>
      </c>
      <c r="B21" s="274">
        <v>100</v>
      </c>
      <c r="C21" s="1044">
        <v>100.9870573175935</v>
      </c>
      <c r="D21" s="1045">
        <v>98.17237946238086</v>
      </c>
      <c r="E21" s="1045">
        <v>91.932868724221322</v>
      </c>
      <c r="F21" s="1045">
        <v>103.32628969664952</v>
      </c>
      <c r="G21" s="1045">
        <v>101.94038645183574</v>
      </c>
      <c r="H21" s="1046">
        <v>86.830363492289237</v>
      </c>
      <c r="I21" s="1046">
        <v>96.566633480301519</v>
      </c>
      <c r="J21" s="1023">
        <v>102.03811691082349</v>
      </c>
      <c r="K21" s="1047">
        <v>99.312026332364837</v>
      </c>
      <c r="L21" s="1046">
        <v>103.01623422801063</v>
      </c>
      <c r="M21" s="644">
        <v>102.02480850112767</v>
      </c>
      <c r="N21" s="16"/>
      <c r="O21" s="16"/>
    </row>
    <row r="22" spans="1:16" ht="17.25" customHeight="1" x14ac:dyDescent="0.2">
      <c r="A22" s="175" t="s">
        <v>26</v>
      </c>
      <c r="B22" s="1078"/>
      <c r="C22" s="1079"/>
      <c r="D22" s="1080"/>
      <c r="E22" s="1081"/>
      <c r="F22" s="1080"/>
      <c r="G22" s="1082"/>
      <c r="H22" s="1082"/>
      <c r="I22" s="1082"/>
      <c r="J22" s="1083"/>
      <c r="K22" s="1061"/>
      <c r="L22" s="1082"/>
      <c r="M22" s="1084"/>
      <c r="N22" s="16"/>
      <c r="O22" s="16"/>
    </row>
    <row r="23" spans="1:16" ht="17.25" customHeight="1" x14ac:dyDescent="0.2">
      <c r="A23" s="569" t="s">
        <v>253</v>
      </c>
      <c r="B23" s="566">
        <v>100</v>
      </c>
      <c r="C23" s="1048">
        <v>97</v>
      </c>
      <c r="D23" s="1049">
        <v>92</v>
      </c>
      <c r="E23" s="1050">
        <v>105</v>
      </c>
      <c r="F23" s="1049">
        <v>99</v>
      </c>
      <c r="G23" s="1051">
        <v>99</v>
      </c>
      <c r="H23" s="1051">
        <v>104</v>
      </c>
      <c r="I23" s="1052">
        <v>102</v>
      </c>
      <c r="J23" s="1053">
        <v>102</v>
      </c>
      <c r="K23" s="1054">
        <v>98</v>
      </c>
      <c r="L23" s="1051">
        <v>101</v>
      </c>
      <c r="M23" s="650">
        <v>102</v>
      </c>
      <c r="N23" s="16"/>
      <c r="O23" s="16"/>
    </row>
    <row r="24" spans="1:16" ht="17.25" customHeight="1" x14ac:dyDescent="0.2">
      <c r="A24" s="561" t="s">
        <v>257</v>
      </c>
      <c r="B24" s="186">
        <v>100</v>
      </c>
      <c r="C24" s="187">
        <v>96.386699980780321</v>
      </c>
      <c r="D24" s="139">
        <v>90.755054915363758</v>
      </c>
      <c r="E24" s="140">
        <v>98.495851055828993</v>
      </c>
      <c r="F24" s="139">
        <v>98.098087223926001</v>
      </c>
      <c r="G24" s="187">
        <v>97.890431105800147</v>
      </c>
      <c r="H24" s="187">
        <v>96.295893951928505</v>
      </c>
      <c r="I24" s="633">
        <v>94.246630288545887</v>
      </c>
      <c r="J24" s="342">
        <v>103.86273805246135</v>
      </c>
      <c r="K24" s="143">
        <v>97.849902648137771</v>
      </c>
      <c r="L24" s="187">
        <v>104.54754364121035</v>
      </c>
      <c r="M24" s="645">
        <v>104.27066881704256</v>
      </c>
      <c r="N24" s="16"/>
      <c r="O24" s="16"/>
    </row>
    <row r="25" spans="1:16" ht="16.5" customHeight="1" x14ac:dyDescent="0.2">
      <c r="A25" s="175" t="s">
        <v>27</v>
      </c>
      <c r="B25" s="962"/>
      <c r="C25" s="1082"/>
      <c r="D25" s="1080"/>
      <c r="E25" s="1081"/>
      <c r="F25" s="1080"/>
      <c r="G25" s="1082"/>
      <c r="H25" s="1082"/>
      <c r="I25" s="1082"/>
      <c r="J25" s="1083"/>
      <c r="K25" s="1061"/>
      <c r="L25" s="1082"/>
      <c r="M25" s="1084"/>
      <c r="N25" s="16"/>
      <c r="O25" s="16"/>
    </row>
    <row r="26" spans="1:16" ht="16.5" customHeight="1" x14ac:dyDescent="0.2">
      <c r="A26" s="570" t="s">
        <v>254</v>
      </c>
      <c r="B26" s="190">
        <v>100</v>
      </c>
      <c r="C26" s="1039">
        <v>86</v>
      </c>
      <c r="D26" s="74">
        <v>91</v>
      </c>
      <c r="E26" s="1040">
        <v>106</v>
      </c>
      <c r="F26" s="74">
        <v>97</v>
      </c>
      <c r="G26" s="1055">
        <v>91</v>
      </c>
      <c r="H26" s="1039">
        <v>109</v>
      </c>
      <c r="I26" s="1055">
        <v>104</v>
      </c>
      <c r="J26" s="1041">
        <v>101</v>
      </c>
      <c r="K26" s="1042">
        <v>90</v>
      </c>
      <c r="L26" s="1039">
        <v>100</v>
      </c>
      <c r="M26" s="1057">
        <v>104</v>
      </c>
      <c r="N26" s="16"/>
      <c r="O26" s="16"/>
    </row>
    <row r="27" spans="1:16" ht="16.5" customHeight="1" x14ac:dyDescent="0.2">
      <c r="A27" s="561" t="s">
        <v>258</v>
      </c>
      <c r="B27" s="186">
        <v>100</v>
      </c>
      <c r="C27" s="187">
        <v>82.900181087340968</v>
      </c>
      <c r="D27" s="139">
        <v>89.707068155102718</v>
      </c>
      <c r="E27" s="140">
        <v>100.60407832292246</v>
      </c>
      <c r="F27" s="139">
        <v>98.791086932513579</v>
      </c>
      <c r="G27" s="633">
        <v>86.640534820357416</v>
      </c>
      <c r="H27" s="187">
        <v>101.40891094950584</v>
      </c>
      <c r="I27" s="633">
        <v>99.577916724028654</v>
      </c>
      <c r="J27" s="342">
        <v>103.95048766503227</v>
      </c>
      <c r="K27" s="143">
        <v>89.472880014886385</v>
      </c>
      <c r="L27" s="187">
        <v>101.65822752255271</v>
      </c>
      <c r="M27" s="645">
        <v>104.91628681693234</v>
      </c>
      <c r="N27" s="16"/>
      <c r="O27" s="16"/>
    </row>
    <row r="28" spans="1:16" ht="8.25" customHeight="1" x14ac:dyDescent="0.2">
      <c r="A28" s="1085"/>
      <c r="B28" s="962"/>
      <c r="C28" s="1061"/>
      <c r="D28" s="1080"/>
      <c r="E28" s="1061"/>
      <c r="F28" s="1061"/>
      <c r="G28" s="1061"/>
      <c r="H28" s="1061"/>
      <c r="I28" s="1061"/>
      <c r="J28" s="1062"/>
      <c r="K28" s="1061"/>
      <c r="L28" s="1061"/>
      <c r="M28" s="1063"/>
      <c r="N28" s="16"/>
      <c r="O28" s="16"/>
    </row>
    <row r="29" spans="1:16" s="16" customFormat="1" ht="17.25" customHeight="1" x14ac:dyDescent="0.2">
      <c r="A29" s="160" t="s">
        <v>7</v>
      </c>
      <c r="B29" s="1008"/>
      <c r="C29" s="161">
        <v>1980</v>
      </c>
      <c r="D29" s="71">
        <v>2003</v>
      </c>
      <c r="E29" s="149">
        <v>2010</v>
      </c>
      <c r="F29" s="162">
        <v>2012</v>
      </c>
      <c r="G29" s="162">
        <v>2018</v>
      </c>
      <c r="H29" s="162">
        <v>2018</v>
      </c>
      <c r="I29" s="585">
        <v>2022</v>
      </c>
      <c r="J29" s="343">
        <v>2005</v>
      </c>
      <c r="K29" s="72">
        <v>2010</v>
      </c>
      <c r="L29" s="72">
        <v>2011</v>
      </c>
      <c r="M29" s="1058">
        <v>2014</v>
      </c>
    </row>
    <row r="30" spans="1:16" s="16" customFormat="1" ht="17.25" customHeight="1" x14ac:dyDescent="0.2">
      <c r="A30" s="1215" t="s">
        <v>354</v>
      </c>
      <c r="B30" s="1008"/>
      <c r="C30" s="1222" t="s">
        <v>362</v>
      </c>
      <c r="D30" s="1222" t="s">
        <v>362</v>
      </c>
      <c r="E30" s="1222" t="s">
        <v>363</v>
      </c>
      <c r="F30" s="1222" t="s">
        <v>364</v>
      </c>
      <c r="G30" s="1222" t="s">
        <v>356</v>
      </c>
      <c r="H30" s="1222" t="s">
        <v>365</v>
      </c>
      <c r="I30" s="1222" t="s">
        <v>356</v>
      </c>
      <c r="J30" s="1222" t="s">
        <v>370</v>
      </c>
      <c r="K30" s="1224" t="s">
        <v>371</v>
      </c>
      <c r="L30" s="1222" t="s">
        <v>364</v>
      </c>
      <c r="M30" s="1222" t="s">
        <v>364</v>
      </c>
    </row>
    <row r="31" spans="1:16" s="16" customFormat="1" ht="17.25" customHeight="1" x14ac:dyDescent="0.2">
      <c r="A31" s="1215" t="s">
        <v>355</v>
      </c>
      <c r="B31" s="1008"/>
      <c r="C31" s="1222" t="s">
        <v>366</v>
      </c>
      <c r="D31" s="1224" t="s">
        <v>367</v>
      </c>
      <c r="E31" s="1222" t="s">
        <v>368</v>
      </c>
      <c r="F31" s="1222" t="s">
        <v>360</v>
      </c>
      <c r="G31" s="1222" t="s">
        <v>359</v>
      </c>
      <c r="H31" s="1222" t="s">
        <v>369</v>
      </c>
      <c r="I31" s="1222" t="s">
        <v>366</v>
      </c>
      <c r="J31" s="1222" t="s">
        <v>359</v>
      </c>
      <c r="K31" s="1222" t="s">
        <v>366</v>
      </c>
      <c r="L31" s="1222" t="s">
        <v>360</v>
      </c>
      <c r="M31" s="1222" t="s">
        <v>359</v>
      </c>
    </row>
    <row r="32" spans="1:16" ht="17.25" customHeight="1" x14ac:dyDescent="0.2">
      <c r="A32" s="150" t="s">
        <v>8</v>
      </c>
      <c r="B32" s="962"/>
      <c r="C32" s="1061"/>
      <c r="D32" s="1061"/>
      <c r="E32" s="1061"/>
      <c r="F32" s="1061"/>
      <c r="G32" s="1061"/>
      <c r="H32" s="1061"/>
      <c r="I32" s="1061"/>
      <c r="J32" s="1062"/>
      <c r="K32" s="1061"/>
      <c r="L32" s="1061"/>
      <c r="M32" s="1063"/>
      <c r="N32" s="16"/>
      <c r="O32" s="16"/>
    </row>
    <row r="33" spans="1:15" ht="17.25" customHeight="1" x14ac:dyDescent="0.2">
      <c r="A33" s="164" t="s">
        <v>25</v>
      </c>
      <c r="B33" s="1009"/>
      <c r="C33" s="182">
        <v>15</v>
      </c>
      <c r="D33" s="137">
        <v>15</v>
      </c>
      <c r="E33" s="181">
        <v>15</v>
      </c>
      <c r="F33" s="182">
        <v>15</v>
      </c>
      <c r="G33" s="182">
        <v>9</v>
      </c>
      <c r="H33" s="182">
        <v>12</v>
      </c>
      <c r="I33" s="182">
        <v>6</v>
      </c>
      <c r="J33" s="341">
        <v>15</v>
      </c>
      <c r="K33" s="182">
        <v>15</v>
      </c>
      <c r="L33" s="182">
        <v>15</v>
      </c>
      <c r="M33" s="639">
        <v>15</v>
      </c>
      <c r="N33" s="16"/>
      <c r="O33" s="191"/>
    </row>
    <row r="34" spans="1:15" ht="17.25" customHeight="1" x14ac:dyDescent="0.2">
      <c r="A34" s="178" t="s">
        <v>26</v>
      </c>
      <c r="B34" s="1010"/>
      <c r="C34" s="193">
        <v>13</v>
      </c>
      <c r="D34" s="165">
        <v>13</v>
      </c>
      <c r="E34" s="192">
        <v>13</v>
      </c>
      <c r="F34" s="193">
        <v>13</v>
      </c>
      <c r="G34" s="193">
        <v>7</v>
      </c>
      <c r="H34" s="193">
        <v>10</v>
      </c>
      <c r="I34" s="193">
        <v>6</v>
      </c>
      <c r="J34" s="344">
        <v>13</v>
      </c>
      <c r="K34" s="193">
        <v>13</v>
      </c>
      <c r="L34" s="193">
        <v>13</v>
      </c>
      <c r="M34" s="1059">
        <v>13</v>
      </c>
      <c r="N34" s="16"/>
      <c r="O34" s="195"/>
    </row>
    <row r="35" spans="1:15" ht="17.25" customHeight="1" x14ac:dyDescent="0.2">
      <c r="A35" s="178" t="s">
        <v>27</v>
      </c>
      <c r="B35" s="1010"/>
      <c r="C35" s="193">
        <v>13</v>
      </c>
      <c r="D35" s="165">
        <v>13</v>
      </c>
      <c r="E35" s="192">
        <v>13</v>
      </c>
      <c r="F35" s="193">
        <v>13</v>
      </c>
      <c r="G35" s="193">
        <v>4</v>
      </c>
      <c r="H35" s="193">
        <v>7</v>
      </c>
      <c r="I35" s="193">
        <v>6</v>
      </c>
      <c r="J35" s="344">
        <v>13</v>
      </c>
      <c r="K35" s="193">
        <v>13</v>
      </c>
      <c r="L35" s="193">
        <v>13</v>
      </c>
      <c r="M35" s="1059">
        <v>13</v>
      </c>
      <c r="N35" s="16"/>
      <c r="O35" s="195"/>
    </row>
    <row r="36" spans="1:15" ht="10.5" customHeight="1" thickBot="1" x14ac:dyDescent="0.25">
      <c r="A36" s="179"/>
      <c r="B36" s="1060"/>
      <c r="C36" s="197"/>
      <c r="D36" s="198"/>
      <c r="E36" s="196"/>
      <c r="F36" s="197"/>
      <c r="G36" s="199"/>
      <c r="H36" s="199"/>
      <c r="I36" s="199"/>
      <c r="J36" s="345"/>
      <c r="K36" s="199"/>
      <c r="L36" s="197"/>
      <c r="M36" s="200"/>
      <c r="N36" s="16"/>
      <c r="O36" s="16"/>
    </row>
    <row r="37" spans="1:15" x14ac:dyDescent="0.2">
      <c r="A37" s="132"/>
      <c r="B37" s="201"/>
      <c r="C37" s="201"/>
      <c r="D37" s="201"/>
      <c r="E37" s="201"/>
      <c r="F37" s="201"/>
      <c r="G37" s="201"/>
      <c r="H37" s="201"/>
      <c r="I37" s="201"/>
      <c r="J37" s="201"/>
      <c r="K37" s="201"/>
      <c r="L37" s="201"/>
      <c r="M37" s="201"/>
      <c r="N37" s="16"/>
      <c r="O37" s="16"/>
    </row>
    <row r="38" spans="1:15" x14ac:dyDescent="0.2">
      <c r="A38" s="1"/>
      <c r="B38" s="16"/>
      <c r="N38" s="16"/>
      <c r="O38" s="16"/>
    </row>
    <row r="39" spans="1:15" x14ac:dyDescent="0.2">
      <c r="B39" s="16"/>
    </row>
  </sheetData>
  <mergeCells count="2">
    <mergeCell ref="J2:M2"/>
    <mergeCell ref="C2:I2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8" scale="7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pageSetUpPr fitToPage="1"/>
  </sheetPr>
  <dimension ref="A1:AL21"/>
  <sheetViews>
    <sheetView zoomScaleNormal="100" workbookViewId="0">
      <selection activeCell="C21" sqref="C21"/>
    </sheetView>
  </sheetViews>
  <sheetFormatPr defaultColWidth="8.85546875" defaultRowHeight="12.75" x14ac:dyDescent="0.2"/>
  <cols>
    <col min="1" max="1" width="40.5703125" customWidth="1"/>
    <col min="2" max="2" width="8.140625" customWidth="1"/>
    <col min="8" max="9" width="10.140625" bestFit="1" customWidth="1"/>
  </cols>
  <sheetData>
    <row r="1" spans="1:38" s="38" customFormat="1" ht="15" x14ac:dyDescent="0.25">
      <c r="A1" s="25" t="s">
        <v>331</v>
      </c>
      <c r="B1" s="66"/>
    </row>
    <row r="2" spans="1:38" ht="11.1" customHeight="1" thickBot="1" x14ac:dyDescent="0.25">
      <c r="A2" s="405"/>
      <c r="B2" s="406"/>
    </row>
    <row r="3" spans="1:38" ht="69.75" customHeight="1" x14ac:dyDescent="0.2">
      <c r="A3" s="407"/>
      <c r="B3" s="619" t="s">
        <v>42</v>
      </c>
      <c r="G3" s="8"/>
      <c r="H3" s="8"/>
      <c r="I3" s="8"/>
    </row>
    <row r="4" spans="1:38" s="16" customFormat="1" ht="15.75" customHeight="1" x14ac:dyDescent="0.2">
      <c r="A4" s="226" t="s">
        <v>78</v>
      </c>
      <c r="B4" s="960"/>
      <c r="F4" s="9"/>
      <c r="G4" s="222"/>
      <c r="H4" s="562"/>
      <c r="I4" s="562"/>
    </row>
    <row r="5" spans="1:38" s="16" customFormat="1" ht="15.75" customHeight="1" x14ac:dyDescent="0.2">
      <c r="A5" s="435" t="s">
        <v>247</v>
      </c>
      <c r="B5" s="180">
        <v>100</v>
      </c>
      <c r="F5" s="9"/>
      <c r="G5" s="387"/>
      <c r="I5" s="562"/>
    </row>
    <row r="6" spans="1:38" s="16" customFormat="1" ht="15.75" customHeight="1" x14ac:dyDescent="0.2">
      <c r="A6" s="433" t="s">
        <v>245</v>
      </c>
      <c r="B6" s="109">
        <v>100</v>
      </c>
    </row>
    <row r="7" spans="1:38" s="125" customFormat="1" ht="15.75" customHeight="1" x14ac:dyDescent="0.2">
      <c r="A7" s="424" t="s">
        <v>248</v>
      </c>
      <c r="B7" s="180">
        <v>100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</row>
    <row r="8" spans="1:38" s="125" customFormat="1" ht="15.75" customHeight="1" x14ac:dyDescent="0.2">
      <c r="A8" s="173" t="s">
        <v>29</v>
      </c>
      <c r="B8" s="960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</row>
    <row r="9" spans="1:38" s="125" customFormat="1" ht="15.75" customHeight="1" x14ac:dyDescent="0.2">
      <c r="A9" s="533" t="s">
        <v>246</v>
      </c>
      <c r="B9" s="180">
        <v>100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38" s="125" customFormat="1" ht="15.75" customHeight="1" x14ac:dyDescent="0.2">
      <c r="A10" s="228" t="s">
        <v>79</v>
      </c>
      <c r="B10" s="114">
        <v>18.53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</row>
    <row r="11" spans="1:38" s="125" customFormat="1" ht="15.75" customHeight="1" x14ac:dyDescent="0.2">
      <c r="A11" s="173" t="s">
        <v>13</v>
      </c>
      <c r="B11" s="960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</row>
    <row r="12" spans="1:38" s="125" customFormat="1" ht="15.75" customHeight="1" x14ac:dyDescent="0.2">
      <c r="A12" s="618" t="s">
        <v>91</v>
      </c>
      <c r="B12" s="180">
        <v>64.599999999999994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</row>
    <row r="13" spans="1:38" s="16" customFormat="1" ht="15.75" customHeight="1" x14ac:dyDescent="0.2">
      <c r="A13" s="177" t="s">
        <v>89</v>
      </c>
      <c r="B13" s="186">
        <v>63.9</v>
      </c>
    </row>
    <row r="14" spans="1:38" s="16" customFormat="1" ht="8.25" customHeight="1" x14ac:dyDescent="0.2">
      <c r="A14" s="961"/>
      <c r="B14" s="962"/>
    </row>
    <row r="15" spans="1:38" s="16" customFormat="1" ht="15.75" customHeight="1" x14ac:dyDescent="0.2">
      <c r="A15" s="160" t="s">
        <v>7</v>
      </c>
      <c r="B15" s="227">
        <v>2003</v>
      </c>
    </row>
    <row r="16" spans="1:38" s="16" customFormat="1" ht="15.75" customHeight="1" x14ac:dyDescent="0.2">
      <c r="A16" s="1215" t="s">
        <v>354</v>
      </c>
      <c r="B16" s="1222" t="s">
        <v>356</v>
      </c>
    </row>
    <row r="17" spans="1:2" s="16" customFormat="1" ht="15.75" customHeight="1" x14ac:dyDescent="0.2">
      <c r="A17" s="1215" t="s">
        <v>355</v>
      </c>
      <c r="B17" s="1222" t="s">
        <v>359</v>
      </c>
    </row>
    <row r="18" spans="1:2" s="16" customFormat="1" ht="15.75" customHeight="1" x14ac:dyDescent="0.2">
      <c r="A18" s="150" t="s">
        <v>8</v>
      </c>
      <c r="B18" s="962"/>
    </row>
    <row r="19" spans="1:2" s="16" customFormat="1" ht="15.75" customHeight="1" x14ac:dyDescent="0.2">
      <c r="A19" s="164" t="s">
        <v>25</v>
      </c>
      <c r="B19" s="180">
        <v>5</v>
      </c>
    </row>
    <row r="20" spans="1:2" s="16" customFormat="1" ht="15.75" customHeight="1" thickBot="1" x14ac:dyDescent="0.25">
      <c r="A20" s="408" t="s">
        <v>26</v>
      </c>
      <c r="B20" s="635">
        <v>5</v>
      </c>
    </row>
    <row r="21" spans="1:2" x14ac:dyDescent="0.2">
      <c r="A21" s="636"/>
      <c r="B21" s="637"/>
    </row>
  </sheetData>
  <phoneticPr fontId="6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9">
    <pageSetUpPr fitToPage="1"/>
  </sheetPr>
  <dimension ref="A1:AG34"/>
  <sheetViews>
    <sheetView tabSelected="1" zoomScaleNormal="100" workbookViewId="0">
      <selection activeCell="F38" sqref="F38"/>
    </sheetView>
  </sheetViews>
  <sheetFormatPr defaultColWidth="8.85546875" defaultRowHeight="12.75" x14ac:dyDescent="0.2"/>
  <cols>
    <col min="1" max="1" width="49.5703125" customWidth="1"/>
    <col min="2" max="2" width="9.140625" customWidth="1"/>
    <col min="6" max="33" width="9.140625" customWidth="1"/>
  </cols>
  <sheetData>
    <row r="1" spans="1:33" s="38" customFormat="1" ht="15" x14ac:dyDescent="0.25">
      <c r="A1" s="25" t="s">
        <v>334</v>
      </c>
      <c r="B1" s="397"/>
      <c r="C1" s="397"/>
      <c r="D1" s="397"/>
    </row>
    <row r="2" spans="1:33" ht="13.5" thickBot="1" x14ac:dyDescent="0.25">
      <c r="A2" s="398"/>
      <c r="B2" s="399"/>
      <c r="C2" s="399"/>
      <c r="D2" s="399"/>
      <c r="E2" s="399"/>
    </row>
    <row r="3" spans="1:33" ht="72.75" customHeight="1" x14ac:dyDescent="0.2">
      <c r="A3" s="89"/>
      <c r="B3" s="34" t="s">
        <v>188</v>
      </c>
      <c r="C3" s="5" t="s">
        <v>37</v>
      </c>
      <c r="D3" s="5" t="s">
        <v>38</v>
      </c>
      <c r="E3" s="602" t="s">
        <v>353</v>
      </c>
    </row>
    <row r="4" spans="1:33" ht="12.75" customHeight="1" x14ac:dyDescent="0.2">
      <c r="A4" s="98" t="s">
        <v>78</v>
      </c>
      <c r="B4" s="959"/>
      <c r="C4" s="951"/>
      <c r="D4" s="951"/>
      <c r="E4" s="958"/>
    </row>
    <row r="5" spans="1:33" ht="17.25" customHeight="1" x14ac:dyDescent="0.2">
      <c r="A5" s="418" t="s">
        <v>243</v>
      </c>
      <c r="B5" s="92">
        <v>100</v>
      </c>
      <c r="C5" s="24">
        <v>94</v>
      </c>
      <c r="D5" s="24">
        <v>99</v>
      </c>
      <c r="E5" s="620">
        <v>106</v>
      </c>
    </row>
    <row r="6" spans="1:33" s="400" customFormat="1" ht="17.25" customHeight="1" x14ac:dyDescent="0.2">
      <c r="A6" s="414" t="s">
        <v>238</v>
      </c>
      <c r="B6" s="54">
        <v>100</v>
      </c>
      <c r="C6" s="12">
        <v>94</v>
      </c>
      <c r="D6" s="12">
        <v>96</v>
      </c>
      <c r="E6" s="621">
        <v>109</v>
      </c>
      <c r="F6" s="93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s="400" customFormat="1" ht="17.25" customHeight="1" x14ac:dyDescent="0.2">
      <c r="A7" s="419" t="s">
        <v>244</v>
      </c>
      <c r="B7" s="52">
        <v>100</v>
      </c>
      <c r="C7" s="6">
        <v>94</v>
      </c>
      <c r="D7" s="6">
        <v>97.63636363636364</v>
      </c>
      <c r="E7" s="622">
        <v>107</v>
      </c>
      <c r="F7"/>
      <c r="G7"/>
      <c r="H7"/>
      <c r="I7" s="532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s="400" customFormat="1" ht="17.25" customHeight="1" x14ac:dyDescent="0.2">
      <c r="A8" s="86" t="s">
        <v>29</v>
      </c>
      <c r="B8" s="956"/>
      <c r="C8" s="957"/>
      <c r="D8" s="957"/>
      <c r="E8" s="958"/>
      <c r="F8" s="7"/>
      <c r="G8" s="7"/>
      <c r="H8" s="7"/>
      <c r="I8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/>
      <c r="AG8"/>
    </row>
    <row r="9" spans="1:33" s="401" customFormat="1" ht="17.25" customHeight="1" x14ac:dyDescent="0.2">
      <c r="A9" s="415" t="s">
        <v>239</v>
      </c>
      <c r="B9" s="88">
        <v>100</v>
      </c>
      <c r="C9" s="21">
        <v>98</v>
      </c>
      <c r="D9" s="21">
        <v>100</v>
      </c>
      <c r="E9" s="623">
        <v>102</v>
      </c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ht="17.25" customHeight="1" x14ac:dyDescent="0.2">
      <c r="A10" s="942" t="s">
        <v>332</v>
      </c>
      <c r="B10" s="22">
        <f>65+0.16</f>
        <v>65.16</v>
      </c>
      <c r="C10" s="23">
        <f>65+0.35</f>
        <v>65.349999999999994</v>
      </c>
      <c r="D10" s="23">
        <f>65+-0.6</f>
        <v>64.400000000000006</v>
      </c>
      <c r="E10" s="624">
        <f>65+0.72</f>
        <v>65.72</v>
      </c>
    </row>
    <row r="11" spans="1:33" s="400" customFormat="1" ht="17.25" customHeight="1" x14ac:dyDescent="0.2">
      <c r="A11" s="416" t="s">
        <v>240</v>
      </c>
      <c r="B11" s="54">
        <v>100</v>
      </c>
      <c r="C11" s="12">
        <v>92</v>
      </c>
      <c r="D11" s="12">
        <v>98</v>
      </c>
      <c r="E11" s="621">
        <v>109</v>
      </c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s="400" customFormat="1" ht="17.25" customHeight="1" x14ac:dyDescent="0.2">
      <c r="A12" s="416" t="s">
        <v>333</v>
      </c>
      <c r="B12" s="22">
        <f>65+4.54</f>
        <v>69.540000000000006</v>
      </c>
      <c r="C12" s="23">
        <f>65+4.71</f>
        <v>69.709999999999994</v>
      </c>
      <c r="D12" s="23">
        <f>65+4.33</f>
        <v>69.33</v>
      </c>
      <c r="E12" s="624">
        <f>65+4.56</f>
        <v>69.56</v>
      </c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s="400" customFormat="1" ht="17.25" customHeight="1" x14ac:dyDescent="0.25">
      <c r="A13" s="416" t="s">
        <v>241</v>
      </c>
      <c r="B13" s="54">
        <v>100</v>
      </c>
      <c r="C13" s="12">
        <v>93</v>
      </c>
      <c r="D13" s="12">
        <v>102</v>
      </c>
      <c r="E13" s="621">
        <v>105</v>
      </c>
      <c r="F13"/>
      <c r="G13"/>
      <c r="H13"/>
      <c r="I13"/>
      <c r="J13" s="578"/>
      <c r="K13" s="578"/>
      <c r="L13" s="578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s="400" customFormat="1" ht="17.25" customHeight="1" x14ac:dyDescent="0.2">
      <c r="A14" s="417" t="s">
        <v>242</v>
      </c>
      <c r="B14" s="52">
        <v>100</v>
      </c>
      <c r="C14" s="6">
        <v>91</v>
      </c>
      <c r="D14" s="6">
        <v>97</v>
      </c>
      <c r="E14" s="622">
        <v>113</v>
      </c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s="400" customFormat="1" ht="17.25" customHeight="1" x14ac:dyDescent="0.2">
      <c r="A15" s="31" t="s">
        <v>13</v>
      </c>
      <c r="B15" s="955"/>
      <c r="C15" s="953"/>
      <c r="D15" s="953"/>
      <c r="E15" s="954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ht="17.25" customHeight="1" x14ac:dyDescent="0.2">
      <c r="A16" s="55" t="s">
        <v>89</v>
      </c>
      <c r="B16" s="571">
        <v>64.38</v>
      </c>
      <c r="C16" s="572">
        <v>67.2</v>
      </c>
      <c r="D16" s="572">
        <v>66.290000000000006</v>
      </c>
      <c r="E16" s="625">
        <v>59.64</v>
      </c>
    </row>
    <row r="17" spans="1:33" ht="17.25" customHeight="1" x14ac:dyDescent="0.2">
      <c r="A17" s="90" t="s">
        <v>39</v>
      </c>
      <c r="B17" s="22">
        <v>6.4950000000000001</v>
      </c>
      <c r="C17" s="23">
        <v>6.54</v>
      </c>
      <c r="D17" s="23">
        <v>6.45</v>
      </c>
      <c r="E17" s="624">
        <v>5.7921959999999997</v>
      </c>
    </row>
    <row r="18" spans="1:33" s="7" customFormat="1" ht="17.25" customHeight="1" x14ac:dyDescent="0.2">
      <c r="A18" s="573" t="s">
        <v>6</v>
      </c>
      <c r="B18" s="574">
        <v>5.8</v>
      </c>
      <c r="C18" s="575">
        <v>6.1</v>
      </c>
      <c r="D18" s="575">
        <v>5.4</v>
      </c>
      <c r="E18" s="626" t="s">
        <v>5</v>
      </c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spans="1:33" ht="17.25" customHeight="1" x14ac:dyDescent="0.2">
      <c r="A19" s="31" t="s">
        <v>14</v>
      </c>
      <c r="B19" s="950"/>
      <c r="C19" s="953"/>
      <c r="D19" s="953"/>
      <c r="E19" s="954"/>
    </row>
    <row r="20" spans="1:33" s="400" customFormat="1" ht="17.25" customHeight="1" x14ac:dyDescent="0.2">
      <c r="A20" s="97" t="s">
        <v>40</v>
      </c>
      <c r="B20" s="88">
        <v>7</v>
      </c>
      <c r="C20" s="21">
        <v>7</v>
      </c>
      <c r="D20" s="21">
        <v>7</v>
      </c>
      <c r="E20" s="627" t="s">
        <v>5</v>
      </c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s="400" customFormat="1" ht="17.25" customHeight="1" x14ac:dyDescent="0.2">
      <c r="A21" s="87" t="s">
        <v>41</v>
      </c>
      <c r="B21" s="54">
        <v>4.4777094449437298</v>
      </c>
      <c r="C21" s="12">
        <v>6.0036689101502816</v>
      </c>
      <c r="D21" s="12">
        <v>5.4294594246809069</v>
      </c>
      <c r="E21" s="628">
        <v>2</v>
      </c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s="400" customFormat="1" ht="17.25" customHeight="1" x14ac:dyDescent="0.2">
      <c r="A22" s="96" t="s">
        <v>50</v>
      </c>
      <c r="B22" s="52">
        <v>4.5</v>
      </c>
      <c r="C22" s="28">
        <v>3</v>
      </c>
      <c r="D22" s="28">
        <v>6</v>
      </c>
      <c r="E22" s="629" t="s">
        <v>5</v>
      </c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</row>
    <row r="23" spans="1:33" s="400" customFormat="1" ht="8.25" customHeight="1" x14ac:dyDescent="0.2">
      <c r="A23" s="949"/>
      <c r="B23" s="950"/>
      <c r="C23" s="951"/>
      <c r="D23" s="951"/>
      <c r="E23" s="952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</row>
    <row r="24" spans="1:33" s="400" customFormat="1" ht="15" customHeight="1" x14ac:dyDescent="0.2">
      <c r="A24" s="91" t="s">
        <v>7</v>
      </c>
      <c r="B24" s="943"/>
      <c r="C24" s="11">
        <v>1982</v>
      </c>
      <c r="D24" s="11">
        <v>1991</v>
      </c>
      <c r="E24" s="630">
        <v>2021</v>
      </c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</row>
    <row r="25" spans="1:33" ht="15" customHeight="1" x14ac:dyDescent="0.2">
      <c r="A25" s="1215" t="s">
        <v>354</v>
      </c>
      <c r="B25" s="943"/>
      <c r="C25" s="1222" t="s">
        <v>356</v>
      </c>
      <c r="D25" s="1223" t="s">
        <v>357</v>
      </c>
      <c r="E25" s="1222" t="s">
        <v>358</v>
      </c>
    </row>
    <row r="26" spans="1:33" ht="15" customHeight="1" x14ac:dyDescent="0.2">
      <c r="A26" s="1215" t="s">
        <v>355</v>
      </c>
      <c r="B26" s="943"/>
      <c r="C26" s="1222" t="s">
        <v>359</v>
      </c>
      <c r="D26" s="1222" t="s">
        <v>360</v>
      </c>
      <c r="E26" s="1224" t="s">
        <v>361</v>
      </c>
    </row>
    <row r="27" spans="1:33" s="402" customFormat="1" ht="15" customHeight="1" x14ac:dyDescent="0.2">
      <c r="A27" s="163" t="s">
        <v>8</v>
      </c>
      <c r="B27" s="944"/>
      <c r="C27" s="947"/>
      <c r="D27" s="947"/>
      <c r="E27" s="948"/>
    </row>
    <row r="28" spans="1:33" ht="15" customHeight="1" x14ac:dyDescent="0.2">
      <c r="A28" s="47" t="s">
        <v>25</v>
      </c>
      <c r="B28" s="945"/>
      <c r="C28" s="30">
        <v>6</v>
      </c>
      <c r="D28" s="30">
        <v>6</v>
      </c>
      <c r="E28" s="631">
        <v>4</v>
      </c>
    </row>
    <row r="29" spans="1:33" s="400" customFormat="1" ht="15" customHeight="1" thickBot="1" x14ac:dyDescent="0.25">
      <c r="A29" s="403" t="s">
        <v>26</v>
      </c>
      <c r="B29" s="946"/>
      <c r="C29" s="404">
        <v>5</v>
      </c>
      <c r="D29" s="404">
        <v>5</v>
      </c>
      <c r="E29" s="632">
        <v>2</v>
      </c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</row>
    <row r="30" spans="1:33" ht="10.5" customHeight="1" x14ac:dyDescent="0.2">
      <c r="A30" s="216"/>
      <c r="B30" s="216"/>
      <c r="C30" s="216"/>
      <c r="D30" s="216"/>
      <c r="E30" s="216"/>
    </row>
    <row r="31" spans="1:33" ht="16.5" customHeight="1" x14ac:dyDescent="0.2">
      <c r="A31" s="413"/>
      <c r="B31" s="94"/>
      <c r="C31" s="95"/>
      <c r="D31" s="95"/>
    </row>
    <row r="32" spans="1:33" ht="16.5" customHeight="1" x14ac:dyDescent="0.2">
      <c r="B32" s="94"/>
      <c r="C32" s="94"/>
      <c r="D32" s="94"/>
    </row>
    <row r="33" spans="2:4" ht="18" customHeight="1" x14ac:dyDescent="0.2">
      <c r="B33" s="95"/>
      <c r="C33" s="95"/>
      <c r="D33" s="95"/>
    </row>
    <row r="34" spans="2:4" x14ac:dyDescent="0.2">
      <c r="B34" s="95"/>
      <c r="C34" s="95"/>
      <c r="D34" s="95"/>
    </row>
  </sheetData>
  <phoneticPr fontId="6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scale="9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EPRG</vt:lpstr>
      <vt:lpstr> IPRG DIP</vt:lpstr>
      <vt:lpstr>IPRG TET</vt:lpstr>
      <vt:lpstr> LPRG DIP</vt:lpstr>
      <vt:lpstr>LPRG TET</vt:lpstr>
      <vt:lpstr>IRG DIP</vt:lpstr>
      <vt:lpstr>IRG TET</vt:lpstr>
      <vt:lpstr>HRG</vt:lpstr>
      <vt:lpstr>TIM</vt:lpstr>
      <vt:lpstr>WC</vt:lpstr>
      <vt:lpstr>RC</vt:lpstr>
      <vt:lpstr>LU</vt:lpstr>
      <vt:lpstr>CFT</vt:lpstr>
      <vt:lpstr>' IPRG DIP'!Print_Area</vt:lpstr>
      <vt:lpstr>' LPRG DIP'!Print_Area</vt:lpstr>
      <vt:lpstr>EPRG!Print_Area</vt:lpstr>
      <vt:lpstr>HRG!Print_Area</vt:lpstr>
      <vt:lpstr>'IPRG TET'!Print_Area</vt:lpstr>
      <vt:lpstr>'IRG DIP'!Print_Area</vt:lpstr>
      <vt:lpstr>'LPRG TET'!Print_Area</vt:lpstr>
      <vt:lpstr>LU!Print_Area</vt:lpstr>
      <vt:lpstr>TIM!Print_Area</vt:lpstr>
      <vt:lpstr>WC!Print_Area</vt:lpstr>
      <vt:lpstr>'IRG DIP'!Print_Titles</vt:lpstr>
      <vt:lpstr>WC!Print_Titles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</dc:creator>
  <cp:lastModifiedBy>Bryony Harris</cp:lastModifiedBy>
  <cp:lastPrinted>2023-02-01T11:20:37Z</cp:lastPrinted>
  <dcterms:created xsi:type="dcterms:W3CDTF">2009-03-05T08:43:59Z</dcterms:created>
  <dcterms:modified xsi:type="dcterms:W3CDTF">2023-06-06T15:09:19Z</dcterms:modified>
</cp:coreProperties>
</file>