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ahdbonline-my.sharepoint.com/personal/victoria_wright_ahdb_org_uk/Documents/Documents/RGCL/Amends/"/>
    </mc:Choice>
  </mc:AlternateContent>
  <xr:revisionPtr revIDLastSave="761" documentId="8_{C84CFA53-EA84-4513-882F-EF97B9E28DF2}" xr6:coauthVersionLast="47" xr6:coauthVersionMax="47" xr10:uidLastSave="{8747AC31-0544-4013-99AC-73398FE4D065}"/>
  <bookViews>
    <workbookView xWindow="28680" yWindow="-120" windowWidth="29040" windowHeight="15720" tabRatio="835" xr2:uid="{00000000-000D-0000-FFFF-FFFF00000000}"/>
  </bookViews>
  <sheets>
    <sheet name="EPRG" sheetId="10" r:id="rId1"/>
    <sheet name=" IPRG DIP" sheetId="11" r:id="rId2"/>
    <sheet name="IPRG TET" sheetId="24" r:id="rId3"/>
    <sheet name=" LPRG DIP" sheetId="21" r:id="rId4"/>
    <sheet name="LPRG TET" sheetId="25" r:id="rId5"/>
    <sheet name="IRG DIP" sheetId="13" r:id="rId6"/>
    <sheet name="IRG TET" sheetId="22" r:id="rId7"/>
    <sheet name="HRG" sheetId="12" r:id="rId8"/>
    <sheet name="TIM" sheetId="19" r:id="rId9"/>
    <sheet name="WC" sheetId="14" r:id="rId10"/>
    <sheet name="RC" sheetId="16" r:id="rId11"/>
    <sheet name="LU" sheetId="18" r:id="rId12"/>
    <sheet name="CFT" sheetId="17" r:id="rId13"/>
  </sheets>
  <externalReferences>
    <externalReference r:id="rId14"/>
    <externalReference r:id="rId15"/>
  </externalReferences>
  <definedNames>
    <definedName name="JobRun1">[1]M1P1!$A$1</definedName>
    <definedName name="M2Largest_LSD_mean">[2]M2P1!$I$63</definedName>
    <definedName name="_xlnm.Print_Area" localSheetId="1">' IPRG DIP'!$A$1:$Q$43</definedName>
    <definedName name="_xlnm.Print_Area" localSheetId="3">' LPRG DIP'!$A$1:$AI$43</definedName>
    <definedName name="_xlnm.Print_Area" localSheetId="0">EPRG!$A$1:$J$45</definedName>
    <definedName name="_xlnm.Print_Area" localSheetId="7">HRG!$A$1:$Y$39</definedName>
    <definedName name="_xlnm.Print_Area" localSheetId="2">'IPRG TET'!$A$1:$S$43</definedName>
    <definedName name="_xlnm.Print_Area" localSheetId="5">'IRG DIP'!$A$1:$P$35</definedName>
    <definedName name="_xlnm.Print_Area" localSheetId="6">'IRG TET'!$A$1:$M$37</definedName>
    <definedName name="_xlnm.Print_Area" localSheetId="4">'LPRG TET'!$A$1:$R$43</definedName>
    <definedName name="_xlnm.Print_Area" localSheetId="11">LU!$A$1:$J$22</definedName>
    <definedName name="_xlnm.Print_Area" localSheetId="8">TIM!$A$1:$L$39</definedName>
    <definedName name="_xlnm.Print_Area" localSheetId="9">WC!$A$1:$S$41</definedName>
    <definedName name="_xlnm.Print_Titles" localSheetId="5">'IRG DIP'!$A:$B</definedName>
    <definedName name="_xlnm.Print_Titles" localSheetId="9">WC!$A:$A</definedName>
    <definedName name="SubTitle1">[1]M1P1!$A$4</definedName>
    <definedName name="Title1">[1]M1P1!$A$2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7" i="21" l="1"/>
  <c r="F7" i="21"/>
  <c r="G7" i="21"/>
  <c r="H7" i="21"/>
  <c r="I7" i="21"/>
  <c r="J7" i="21"/>
  <c r="K7" i="21"/>
  <c r="L7" i="21"/>
  <c r="M7" i="21"/>
  <c r="N7" i="21"/>
  <c r="O7" i="21"/>
  <c r="P7" i="21"/>
  <c r="Q7" i="21"/>
  <c r="R7" i="21"/>
  <c r="S7" i="21"/>
  <c r="T7" i="21"/>
  <c r="U7" i="21"/>
  <c r="V7" i="21"/>
  <c r="W7" i="21"/>
  <c r="X7" i="21"/>
  <c r="Y7" i="21"/>
  <c r="Z7" i="21"/>
  <c r="AA7" i="21"/>
  <c r="AB7" i="21"/>
  <c r="AC7" i="21"/>
  <c r="AD7" i="21"/>
  <c r="AE7" i="21"/>
  <c r="AF7" i="21"/>
  <c r="AG7" i="21"/>
  <c r="AH7" i="21"/>
  <c r="AI7" i="21"/>
  <c r="D7" i="21"/>
  <c r="E7" i="25" l="1"/>
  <c r="F7" i="25"/>
  <c r="G7" i="25"/>
  <c r="H7" i="25"/>
  <c r="I7" i="25"/>
  <c r="J7" i="25"/>
  <c r="K7" i="25"/>
  <c r="L7" i="25"/>
  <c r="M7" i="25"/>
  <c r="N7" i="25"/>
  <c r="O7" i="25"/>
  <c r="P7" i="25"/>
  <c r="Q7" i="25"/>
  <c r="D7" i="24"/>
  <c r="E7" i="24"/>
  <c r="F7" i="24"/>
  <c r="G7" i="24"/>
  <c r="H7" i="24"/>
  <c r="I7" i="24"/>
  <c r="J7" i="24"/>
  <c r="K7" i="24"/>
  <c r="L7" i="24"/>
  <c r="M7" i="24"/>
  <c r="N7" i="24"/>
  <c r="O7" i="24"/>
  <c r="P7" i="24"/>
  <c r="Q7" i="24"/>
  <c r="R7" i="24"/>
  <c r="S7" i="24"/>
  <c r="D7" i="11"/>
  <c r="E7" i="11"/>
  <c r="F7" i="11"/>
  <c r="G7" i="11"/>
  <c r="H7" i="11"/>
  <c r="I7" i="11"/>
  <c r="J7" i="11"/>
  <c r="K7" i="11"/>
  <c r="L7" i="11"/>
  <c r="M7" i="11"/>
  <c r="N7" i="11"/>
  <c r="O7" i="11"/>
  <c r="P7" i="11"/>
  <c r="C7" i="19" l="1"/>
  <c r="D7" i="19"/>
  <c r="E7" i="19"/>
  <c r="F7" i="19"/>
  <c r="G7" i="19"/>
  <c r="H7" i="19"/>
  <c r="I7" i="19"/>
  <c r="E21" i="17"/>
  <c r="D21" i="17"/>
  <c r="C21" i="17"/>
  <c r="B21" i="17"/>
  <c r="E19" i="17"/>
  <c r="D19" i="17"/>
  <c r="C19" i="17"/>
  <c r="B19" i="17"/>
  <c r="E6" i="17"/>
  <c r="D6" i="17"/>
  <c r="C6" i="17"/>
  <c r="B6" i="17"/>
  <c r="Q26" i="25"/>
  <c r="P26" i="25"/>
  <c r="O26" i="25"/>
  <c r="N26" i="25"/>
  <c r="M26" i="25"/>
  <c r="L26" i="25"/>
  <c r="K26" i="25"/>
  <c r="J26" i="25"/>
  <c r="I26" i="25"/>
  <c r="H26" i="25"/>
  <c r="G26" i="25"/>
  <c r="F26" i="25"/>
  <c r="E26" i="25"/>
  <c r="C26" i="25"/>
  <c r="B26" i="25"/>
  <c r="Q24" i="25"/>
  <c r="P24" i="25"/>
  <c r="O24" i="25"/>
  <c r="N24" i="25"/>
  <c r="M24" i="25"/>
  <c r="L24" i="25"/>
  <c r="K24" i="25"/>
  <c r="J24" i="25"/>
  <c r="I24" i="25"/>
  <c r="H24" i="25"/>
  <c r="G24" i="25"/>
  <c r="F24" i="25"/>
  <c r="E24" i="25"/>
  <c r="C24" i="25"/>
  <c r="B24" i="25"/>
  <c r="C7" i="25"/>
  <c r="B7" i="25"/>
  <c r="AI26" i="21"/>
  <c r="AH26" i="21"/>
  <c r="AG26" i="21"/>
  <c r="AF26" i="21"/>
  <c r="AE26" i="21"/>
  <c r="AD26" i="21"/>
  <c r="AC26" i="21"/>
  <c r="AB26" i="21"/>
  <c r="AA26" i="21"/>
  <c r="Z26" i="21"/>
  <c r="Y26" i="21"/>
  <c r="X26" i="21"/>
  <c r="W26" i="21"/>
  <c r="V26" i="21"/>
  <c r="U26" i="21"/>
  <c r="T26" i="21"/>
  <c r="S26" i="21"/>
  <c r="R26" i="21"/>
  <c r="Q26" i="21"/>
  <c r="P26" i="21"/>
  <c r="O26" i="21"/>
  <c r="N26" i="21"/>
  <c r="M26" i="21"/>
  <c r="L26" i="21"/>
  <c r="K26" i="21"/>
  <c r="J26" i="21"/>
  <c r="I26" i="21"/>
  <c r="H26" i="21"/>
  <c r="G26" i="21"/>
  <c r="F26" i="21"/>
  <c r="E26" i="21"/>
  <c r="D26" i="21"/>
  <c r="C26" i="21"/>
  <c r="B26" i="21"/>
  <c r="AI24" i="21"/>
  <c r="AH24" i="21"/>
  <c r="AG24" i="21"/>
  <c r="AF24" i="21"/>
  <c r="AE24" i="21"/>
  <c r="AD24" i="21"/>
  <c r="AC24" i="21"/>
  <c r="AB24" i="21"/>
  <c r="AA24" i="21"/>
  <c r="Z24" i="21"/>
  <c r="Y24" i="21"/>
  <c r="X24" i="21"/>
  <c r="W24" i="21"/>
  <c r="V24" i="21"/>
  <c r="U24" i="21"/>
  <c r="T24" i="21"/>
  <c r="S24" i="21"/>
  <c r="R24" i="21"/>
  <c r="Q24" i="21"/>
  <c r="P24" i="21"/>
  <c r="O24" i="21"/>
  <c r="N24" i="21"/>
  <c r="M24" i="21"/>
  <c r="L24" i="21"/>
  <c r="K24" i="21"/>
  <c r="J24" i="21"/>
  <c r="I24" i="21"/>
  <c r="H24" i="21"/>
  <c r="G24" i="21"/>
  <c r="F24" i="21"/>
  <c r="E24" i="21"/>
  <c r="D24" i="21"/>
  <c r="C24" i="21"/>
  <c r="B24" i="21"/>
  <c r="C7" i="21"/>
  <c r="B7" i="21"/>
  <c r="S26" i="24"/>
  <c r="R26" i="24"/>
  <c r="Q26" i="24"/>
  <c r="P26" i="24"/>
  <c r="O26" i="24"/>
  <c r="N26" i="24"/>
  <c r="M26" i="24"/>
  <c r="L26" i="24"/>
  <c r="K26" i="24"/>
  <c r="J26" i="24"/>
  <c r="I26" i="24"/>
  <c r="H26" i="24"/>
  <c r="G26" i="24"/>
  <c r="F26" i="24"/>
  <c r="E26" i="24"/>
  <c r="D26" i="24"/>
  <c r="C26" i="24"/>
  <c r="B26" i="24"/>
  <c r="S24" i="24"/>
  <c r="R24" i="24"/>
  <c r="Q24" i="24"/>
  <c r="P24" i="24"/>
  <c r="O24" i="24"/>
  <c r="N24" i="24"/>
  <c r="M24" i="24"/>
  <c r="L24" i="24"/>
  <c r="K24" i="24"/>
  <c r="J24" i="24"/>
  <c r="I24" i="24"/>
  <c r="H24" i="24"/>
  <c r="G24" i="24"/>
  <c r="F24" i="24"/>
  <c r="E24" i="24"/>
  <c r="D24" i="24"/>
  <c r="C24" i="24"/>
  <c r="B24" i="24"/>
  <c r="C7" i="24"/>
  <c r="B7" i="24"/>
  <c r="P26" i="11"/>
  <c r="O26" i="11"/>
  <c r="N26" i="11"/>
  <c r="M26" i="11"/>
  <c r="L26" i="11"/>
  <c r="K26" i="11"/>
  <c r="J26" i="11"/>
  <c r="I26" i="11"/>
  <c r="H26" i="11"/>
  <c r="G26" i="11"/>
  <c r="F26" i="11"/>
  <c r="E26" i="11"/>
  <c r="D26" i="11"/>
  <c r="C26" i="11"/>
  <c r="B26" i="11"/>
  <c r="P24" i="11"/>
  <c r="O24" i="11"/>
  <c r="N24" i="11"/>
  <c r="M24" i="11"/>
  <c r="L24" i="11"/>
  <c r="K24" i="11"/>
  <c r="J24" i="11"/>
  <c r="I24" i="11"/>
  <c r="H24" i="11"/>
  <c r="G24" i="11"/>
  <c r="F24" i="11"/>
  <c r="E24" i="11"/>
  <c r="D24" i="11"/>
  <c r="C24" i="11"/>
  <c r="B24" i="11"/>
  <c r="C7" i="11"/>
  <c r="B7" i="11"/>
  <c r="J27" i="10"/>
  <c r="I27" i="10"/>
  <c r="H27" i="10"/>
  <c r="G27" i="10"/>
  <c r="F27" i="10"/>
  <c r="E27" i="10"/>
  <c r="D27" i="10"/>
  <c r="C27" i="10"/>
  <c r="B27" i="10"/>
  <c r="J25" i="10"/>
  <c r="I25" i="10"/>
  <c r="H25" i="10"/>
  <c r="G25" i="10"/>
  <c r="F25" i="10"/>
  <c r="E25" i="10"/>
  <c r="D25" i="10"/>
  <c r="C25" i="10"/>
  <c r="B25" i="10"/>
  <c r="J8" i="10"/>
  <c r="I8" i="10"/>
  <c r="H8" i="10"/>
  <c r="G8" i="10"/>
  <c r="F8" i="10"/>
  <c r="E8" i="10"/>
  <c r="D8" i="10"/>
  <c r="C8" i="10"/>
  <c r="B8" i="10"/>
  <c r="I26" i="19"/>
  <c r="H26" i="19"/>
  <c r="G26" i="19"/>
  <c r="F26" i="19"/>
  <c r="E26" i="19"/>
  <c r="D26" i="19"/>
  <c r="C26" i="19"/>
  <c r="B26" i="19"/>
  <c r="I24" i="19"/>
  <c r="H24" i="19"/>
  <c r="G24" i="19"/>
  <c r="F24" i="19"/>
  <c r="E24" i="19"/>
  <c r="D24" i="19"/>
  <c r="C24" i="19"/>
  <c r="B24" i="19"/>
  <c r="B7" i="19"/>
  <c r="Y21" i="12"/>
  <c r="X21" i="12"/>
  <c r="W21" i="12"/>
  <c r="V21" i="12"/>
  <c r="U21" i="12"/>
  <c r="T21" i="12"/>
  <c r="S21" i="12"/>
  <c r="R21" i="12"/>
  <c r="Q21" i="12"/>
  <c r="P21" i="12"/>
  <c r="O21" i="12"/>
  <c r="N21" i="12"/>
  <c r="M21" i="12"/>
  <c r="L21" i="12"/>
  <c r="K21" i="12"/>
  <c r="J21" i="12"/>
  <c r="I21" i="12"/>
  <c r="H21" i="12"/>
  <c r="G21" i="12"/>
  <c r="F21" i="12"/>
  <c r="E21" i="12"/>
  <c r="D21" i="12"/>
  <c r="B21" i="12"/>
  <c r="Y19" i="12"/>
  <c r="X19" i="12"/>
  <c r="W19" i="12"/>
  <c r="V19" i="12"/>
  <c r="U19" i="12"/>
  <c r="T19" i="12"/>
  <c r="S19" i="12"/>
  <c r="R19" i="12"/>
  <c r="Q19" i="12"/>
  <c r="P19" i="12"/>
  <c r="O19" i="12"/>
  <c r="N19" i="12"/>
  <c r="M19" i="12"/>
  <c r="L19" i="12"/>
  <c r="K19" i="12"/>
  <c r="J19" i="12"/>
  <c r="I19" i="12"/>
  <c r="H19" i="12"/>
  <c r="G19" i="12"/>
  <c r="F19" i="12"/>
  <c r="E19" i="12"/>
  <c r="D19" i="12"/>
  <c r="B19" i="12"/>
  <c r="L16" i="22"/>
  <c r="K16" i="22"/>
  <c r="J16" i="22"/>
  <c r="I16" i="22"/>
  <c r="H16" i="22"/>
  <c r="G16" i="22"/>
  <c r="F16" i="22"/>
  <c r="E16" i="22"/>
  <c r="D16" i="22"/>
  <c r="C16" i="22"/>
  <c r="B16" i="22"/>
  <c r="L14" i="22"/>
  <c r="K14" i="22"/>
  <c r="J14" i="22"/>
  <c r="I14" i="22"/>
  <c r="H14" i="22"/>
  <c r="G14" i="22"/>
  <c r="F14" i="22"/>
  <c r="E14" i="22"/>
  <c r="D14" i="22"/>
  <c r="C14" i="22"/>
  <c r="B14" i="22"/>
  <c r="P16" i="13"/>
  <c r="O16" i="13"/>
  <c r="N16" i="13"/>
  <c r="M16" i="13"/>
  <c r="L16" i="13"/>
  <c r="K16" i="13"/>
  <c r="J16" i="13"/>
  <c r="I16" i="13"/>
  <c r="H16" i="13"/>
  <c r="G16" i="13"/>
  <c r="F16" i="13"/>
  <c r="E16" i="13"/>
  <c r="D16" i="13"/>
  <c r="C16" i="13"/>
  <c r="B16" i="13"/>
  <c r="P14" i="13"/>
  <c r="O14" i="13"/>
  <c r="N14" i="13"/>
  <c r="M14" i="13"/>
  <c r="L14" i="13"/>
  <c r="K14" i="13"/>
  <c r="J14" i="13"/>
  <c r="I14" i="13"/>
  <c r="H14" i="13"/>
  <c r="G14" i="13"/>
  <c r="F14" i="13"/>
  <c r="E14" i="13"/>
  <c r="D14" i="13"/>
  <c r="C14" i="13"/>
  <c r="B14" i="13"/>
</calcChain>
</file>

<file path=xl/sharedStrings.xml><?xml version="1.0" encoding="utf-8"?>
<sst xmlns="http://schemas.openxmlformats.org/spreadsheetml/2006/main" count="1272" uniqueCount="407">
  <si>
    <t xml:space="preserve">AberMagic </t>
  </si>
  <si>
    <t>G</t>
  </si>
  <si>
    <t>PG</t>
  </si>
  <si>
    <t>PS</t>
  </si>
  <si>
    <t>S</t>
  </si>
  <si>
    <t>-</t>
  </si>
  <si>
    <t>Number of trials for yields</t>
  </si>
  <si>
    <t>Heading date</t>
  </si>
  <si>
    <t xml:space="preserve">Grazing seasonal growth </t>
  </si>
  <si>
    <t>Grazing management</t>
  </si>
  <si>
    <t>Conservation management</t>
  </si>
  <si>
    <t>Agronomic characters</t>
  </si>
  <si>
    <t>Disease resistance</t>
  </si>
  <si>
    <t>Violin</t>
  </si>
  <si>
    <t>Barblanca</t>
  </si>
  <si>
    <t>Aran</t>
  </si>
  <si>
    <t>Diploids</t>
  </si>
  <si>
    <t>Tetraploids</t>
  </si>
  <si>
    <t xml:space="preserve">Recommended List status </t>
  </si>
  <si>
    <t>1st harvest year</t>
  </si>
  <si>
    <t>2nd harvest year</t>
  </si>
  <si>
    <t>3rd harvest year</t>
  </si>
  <si>
    <t>Year of Sowing</t>
  </si>
  <si>
    <t>Fox</t>
  </si>
  <si>
    <t>Muriello</t>
  </si>
  <si>
    <t>Alamo</t>
  </si>
  <si>
    <t>Abys</t>
  </si>
  <si>
    <t>Lemmon</t>
  </si>
  <si>
    <t>Merviot</t>
  </si>
  <si>
    <t>Amos(T)</t>
  </si>
  <si>
    <t>Sparta</t>
  </si>
  <si>
    <t>Lidacta</t>
  </si>
  <si>
    <t>Daisy</t>
  </si>
  <si>
    <t>AberClaret</t>
  </si>
  <si>
    <t>Comer</t>
  </si>
  <si>
    <t xml:space="preserve">Presto </t>
  </si>
  <si>
    <t>Dolina</t>
  </si>
  <si>
    <t>Comtal</t>
  </si>
  <si>
    <t>Promesse</t>
  </si>
  <si>
    <t>Winnetou</t>
  </si>
  <si>
    <t>Grazing D-value (minus 65)</t>
  </si>
  <si>
    <t>Number of trials for clover yields</t>
  </si>
  <si>
    <t>Genesis</t>
  </si>
  <si>
    <t>Moyola</t>
  </si>
  <si>
    <t xml:space="preserve">Grazing management </t>
  </si>
  <si>
    <t>Drumbo</t>
  </si>
  <si>
    <t>Cancan</t>
  </si>
  <si>
    <t>AberAvon</t>
  </si>
  <si>
    <t>AberChoice</t>
  </si>
  <si>
    <t>AberAce</t>
  </si>
  <si>
    <t>AberHerald</t>
  </si>
  <si>
    <t>Toddington</t>
  </si>
  <si>
    <t>AberGreen</t>
  </si>
  <si>
    <t>Harmonie</t>
  </si>
  <si>
    <t xml:space="preserve">Atlantis(T)          </t>
  </si>
  <si>
    <t>Iona</t>
  </si>
  <si>
    <t>Shakira</t>
  </si>
  <si>
    <t>Magellan(T)</t>
  </si>
  <si>
    <t>Nifty</t>
  </si>
  <si>
    <t>Moira</t>
  </si>
  <si>
    <t>AberWolf</t>
  </si>
  <si>
    <t>Diploid Mean              (= Barsilo)</t>
  </si>
  <si>
    <t>Timing</t>
  </si>
  <si>
    <t>Glenarm</t>
  </si>
  <si>
    <t>Dublin</t>
  </si>
  <si>
    <t>Brianna</t>
  </si>
  <si>
    <t>Glasker</t>
  </si>
  <si>
    <t>Gosford</t>
  </si>
  <si>
    <t>AberZeus</t>
  </si>
  <si>
    <t>AberLee</t>
  </si>
  <si>
    <t>[6.9]</t>
  </si>
  <si>
    <t>AberSwan</t>
  </si>
  <si>
    <t>Callan</t>
  </si>
  <si>
    <t>Bowie</t>
  </si>
  <si>
    <t>AberBann</t>
  </si>
  <si>
    <t>Oakpark</t>
  </si>
  <si>
    <t xml:space="preserve">Sinope      </t>
  </si>
  <si>
    <t>[6.7]</t>
  </si>
  <si>
    <t>Dundrod</t>
  </si>
  <si>
    <t>Fearga</t>
  </si>
  <si>
    <t>Agaska</t>
  </si>
  <si>
    <t>Coolfin</t>
  </si>
  <si>
    <t>Galgorm</t>
  </si>
  <si>
    <t>Kendal</t>
  </si>
  <si>
    <t>Melprimo</t>
  </si>
  <si>
    <t>AstonKing</t>
  </si>
  <si>
    <t>Mean of 
G varieties</t>
  </si>
  <si>
    <t>Mean of  G 
varieties</t>
  </si>
  <si>
    <t>Mean of  G  
varieties</t>
  </si>
  <si>
    <t>Mean of G 
varieties</t>
  </si>
  <si>
    <t>Mean of  G  varieties</t>
  </si>
  <si>
    <t>Syntilla</t>
  </si>
  <si>
    <t>Udine</t>
  </si>
  <si>
    <t>Hunter</t>
  </si>
  <si>
    <t>Barmultra II</t>
  </si>
  <si>
    <t>Kigezi 1</t>
  </si>
  <si>
    <t>Arman</t>
  </si>
  <si>
    <t>Messina</t>
  </si>
  <si>
    <t>Barimax</t>
  </si>
  <si>
    <t>AberEcho</t>
  </si>
  <si>
    <t>Aston                  
Crusader</t>
  </si>
  <si>
    <t>Perkins</t>
  </si>
  <si>
    <t xml:space="preserve">Bannfoot      </t>
  </si>
  <si>
    <t>Enduro</t>
  </si>
  <si>
    <t xml:space="preserve">Tetragraze            </t>
  </si>
  <si>
    <t>Kirial</t>
  </si>
  <si>
    <t>AberImage</t>
  </si>
  <si>
    <t>Pirol</t>
  </si>
  <si>
    <t>Barsilo</t>
  </si>
  <si>
    <t>Barclamp</t>
  </si>
  <si>
    <t>AberNiche         
(Fest)</t>
  </si>
  <si>
    <t>Perseus 
(Fest)</t>
  </si>
  <si>
    <t>AberTorch</t>
  </si>
  <si>
    <t>Cooky</t>
  </si>
  <si>
    <t>Fintona</t>
  </si>
  <si>
    <t>Seagoe</t>
  </si>
  <si>
    <t>Nolwen</t>
  </si>
  <si>
    <t>AstonVision</t>
  </si>
  <si>
    <t>AberSpey</t>
  </si>
  <si>
    <t>Dunluce</t>
  </si>
  <si>
    <t>Pensel</t>
  </si>
  <si>
    <t>Federer</t>
  </si>
  <si>
    <t>AstonEnergy</t>
  </si>
  <si>
    <t>Ballintoy</t>
  </si>
  <si>
    <t>Bijou</t>
  </si>
  <si>
    <t>Weldone</t>
  </si>
  <si>
    <t>Meiduno</t>
  </si>
  <si>
    <t>Aspect</t>
  </si>
  <si>
    <t>AberGain</t>
  </si>
  <si>
    <t>Nashota</t>
  </si>
  <si>
    <t>Thegn</t>
  </si>
  <si>
    <t>Hopi</t>
  </si>
  <si>
    <t>Gleneagle</t>
  </si>
  <si>
    <t>AberTest</t>
  </si>
  <si>
    <t>Ballyvoy</t>
  </si>
  <si>
    <t>Swan</t>
  </si>
  <si>
    <t>Gracehill</t>
  </si>
  <si>
    <t>Sendero</t>
  </si>
  <si>
    <t>Baronaise</t>
  </si>
  <si>
    <t>Quartz</t>
  </si>
  <si>
    <t>Kakariki</t>
  </si>
  <si>
    <t>Pinaco</t>
  </si>
  <si>
    <t>RGT Cordial</t>
  </si>
  <si>
    <t>Delika</t>
  </si>
  <si>
    <t>Convey</t>
  </si>
  <si>
    <t>Chatsworth</t>
  </si>
  <si>
    <t>Mean of DL
varieties</t>
  </si>
  <si>
    <t>Wetherby</t>
  </si>
  <si>
    <t>Zorgue</t>
  </si>
  <si>
    <t>Ritchie</t>
  </si>
  <si>
    <t>AberRoot
 (Fest)</t>
  </si>
  <si>
    <t>AberSheen</t>
  </si>
  <si>
    <t>[7.3]</t>
  </si>
  <si>
    <t>AberThames</t>
  </si>
  <si>
    <t>Melsitra</t>
  </si>
  <si>
    <t>Melsprinter</t>
  </si>
  <si>
    <t>Barwave</t>
  </si>
  <si>
    <t>Legacy</t>
  </si>
  <si>
    <t>Tollymore</t>
  </si>
  <si>
    <t>Alecto</t>
  </si>
  <si>
    <t>Crossgar</t>
  </si>
  <si>
    <t>Timuco</t>
  </si>
  <si>
    <t>Clodagh</t>
  </si>
  <si>
    <t>Ganymed</t>
  </si>
  <si>
    <t>AberSirius</t>
  </si>
  <si>
    <t>Jaccar</t>
  </si>
  <si>
    <t>Doluga</t>
  </si>
  <si>
    <t>[6.0]</t>
  </si>
  <si>
    <t>AberOpal</t>
  </si>
  <si>
    <t>CAND</t>
  </si>
  <si>
    <t>AberDon</t>
  </si>
  <si>
    <t>Goldwell</t>
  </si>
  <si>
    <t>AberSevern</t>
  </si>
  <si>
    <t>Graphic</t>
  </si>
  <si>
    <t>Bandon</t>
  </si>
  <si>
    <t xml:space="preserve">Aberystwyth S.184 </t>
  </si>
  <si>
    <t>Banbridge</t>
  </si>
  <si>
    <t>Erinvale</t>
  </si>
  <si>
    <t>[7.1]</t>
  </si>
  <si>
    <t>[7.4]</t>
  </si>
  <si>
    <t>[7.5]</t>
  </si>
  <si>
    <t>[7.6]</t>
  </si>
  <si>
    <t>[7.7]</t>
  </si>
  <si>
    <t>Farmington</t>
  </si>
  <si>
    <t>Bomium</t>
  </si>
  <si>
    <t xml:space="preserve">Descriptive list status </t>
  </si>
  <si>
    <t>DL</t>
  </si>
  <si>
    <t>Cigale</t>
  </si>
  <si>
    <t>Andantino</t>
  </si>
  <si>
    <t>Harrenhal</t>
  </si>
  <si>
    <t>Charlfield</t>
  </si>
  <si>
    <t>Bigdyl</t>
  </si>
  <si>
    <t>Total yield 1st harvest year (% of 10.16 t/ha)</t>
  </si>
  <si>
    <t>Total yield 2nd harvest year (% of 14.42 t/ha)</t>
  </si>
  <si>
    <t>AberTweed</t>
  </si>
  <si>
    <t>AberForth</t>
  </si>
  <si>
    <t>Richhill</t>
  </si>
  <si>
    <t>Total yield 3rd harvest year (% of 10.24 t/ha)</t>
  </si>
  <si>
    <t>Total yield 2nd harvest year (% of 13.39 t/ha)</t>
  </si>
  <si>
    <t xml:space="preserve">Total yield 1st harvest year  (% of 12.26 t/ha) </t>
  </si>
  <si>
    <t>Total yield: Mean                 (% of 12.06 t/ha)</t>
  </si>
  <si>
    <t>[2]</t>
  </si>
  <si>
    <t>Grazing management #</t>
  </si>
  <si>
    <t>Grazing seasonal growth #</t>
  </si>
  <si>
    <t>RGT Lovely</t>
  </si>
  <si>
    <t>1st cut (% of 5.32 t/ha)</t>
  </si>
  <si>
    <t>2nd cut (% of 2.62 t/ha)</t>
  </si>
  <si>
    <t>3rd cut (% of 2.98 t/ha)</t>
  </si>
  <si>
    <t>Total yield 1st harvest year (% of 14.34 t/ha)</t>
  </si>
  <si>
    <t>Grazing yield (% of 9.30 t/ha)</t>
  </si>
  <si>
    <t>Early grazing yield (% of 1.80 t/ha)</t>
  </si>
  <si>
    <t>Spring (% of 3.48 t/ha)</t>
  </si>
  <si>
    <t>Autumn (% of 0.82 t/ha)</t>
  </si>
  <si>
    <t>Clover yield: First cut (% of 0.58 t/ha) #</t>
  </si>
  <si>
    <t>Clover yield: Last cut (% of 0.55 t/ha) #</t>
  </si>
  <si>
    <t>Clover yield: First cut (% of 0.57 t/ha) #</t>
  </si>
  <si>
    <t>Clover yield: Last cut (% of 0.41 t/ha) #</t>
  </si>
  <si>
    <t>Early grazing yield (% of 1.31 t/ha)</t>
  </si>
  <si>
    <t>Total yield year 3 (% of 12.51 t/ha)</t>
  </si>
  <si>
    <t>Spring (% of 2.56 t/ha)</t>
  </si>
  <si>
    <t>Autumn (% of 1.06 t/ha)</t>
  </si>
  <si>
    <t>Grazing yield (% of 9.14 t/ha)</t>
  </si>
  <si>
    <t>Total yield year 1 (% of 13.95 t/ha)</t>
  </si>
  <si>
    <t>Total yield: Mean (% of 13.28 t/ha)</t>
  </si>
  <si>
    <t>1st cut (% of 6.12 t/ha)</t>
  </si>
  <si>
    <t>2nd cut (% of 3.28 t/ha)</t>
  </si>
  <si>
    <t>3rd cut (% of 2.37 t/ha)</t>
  </si>
  <si>
    <t>18LP 12T30</t>
  </si>
  <si>
    <t>AstonGlory</t>
  </si>
  <si>
    <t>[7.9]</t>
  </si>
  <si>
    <t>[7.0]</t>
  </si>
  <si>
    <t>[6.4]</t>
  </si>
  <si>
    <t>[6.8]</t>
  </si>
  <si>
    <t>[7.2]</t>
  </si>
  <si>
    <t>1st conservation cut (% of 6.18 t/ha)</t>
  </si>
  <si>
    <t>2nd conservation cut (% of 4.02 t/ha)</t>
  </si>
  <si>
    <t>1st harvest year (% of 17.11 t/ha)</t>
  </si>
  <si>
    <t>2nd harvest year (% of 14.26 t/ha)</t>
  </si>
  <si>
    <t>Total yield: Mean (% of 15.66 t/ha)</t>
  </si>
  <si>
    <t>[4.9]</t>
  </si>
  <si>
    <t>[6.5]</t>
  </si>
  <si>
    <t>Grazing yield (% of 9.16 t/ha)</t>
  </si>
  <si>
    <t>Total yield year 1 (% of 15.97 t/ha)</t>
  </si>
  <si>
    <t>Total yield year 3 (% of 12.09 t/ha)</t>
  </si>
  <si>
    <t>Total yield: Mean (% of 14.14 t/ha)</t>
  </si>
  <si>
    <t>Early grazing yield (% of 1.37 t/ha)</t>
  </si>
  <si>
    <t>Spring (% of 2.45 t/ha)</t>
  </si>
  <si>
    <t>Autumn (% of 1.36 t/ha)</t>
  </si>
  <si>
    <t>1st cut (% of 7.11 t/ha)</t>
  </si>
  <si>
    <t>2nd cut (% of 3.30 t/ha)</t>
  </si>
  <si>
    <t>3rd cut (% of 2.66 t/ha)</t>
  </si>
  <si>
    <t>Early spring growth  (% of 1.78 t/ha)</t>
  </si>
  <si>
    <t>Total yield: Mean (% of 14.02 t/ha)</t>
  </si>
  <si>
    <t>1st harvest year (% of 17.14 t/ha)</t>
  </si>
  <si>
    <t>2nd harvest year (% of 12.89 t/ha)</t>
  </si>
  <si>
    <t>3rd harvest year (% of 11.93 t/ha)</t>
  </si>
  <si>
    <t>Early spring growth  (% of 1.55 t/ha)</t>
  </si>
  <si>
    <t>2nd conservation cut (% of 3.80 t/ha)</t>
  </si>
  <si>
    <t>Monthly cuts ( % of 5.69 t/ha)</t>
  </si>
  <si>
    <t>[95]</t>
  </si>
  <si>
    <t>[100]</t>
  </si>
  <si>
    <t>[119]</t>
  </si>
  <si>
    <t>1st conservation cut (% of 6.23 t/ha)</t>
  </si>
  <si>
    <t>Utopial</t>
  </si>
  <si>
    <t>Grazing D-value</t>
  </si>
  <si>
    <t xml:space="preserve">Grazing D-value </t>
  </si>
  <si>
    <t>2nd cut D-value</t>
  </si>
  <si>
    <t>Exotyl</t>
  </si>
  <si>
    <t>AberGarnet</t>
  </si>
  <si>
    <t>RL status</t>
  </si>
  <si>
    <r>
      <t>Leaf area (length × breadth mm</t>
    </r>
    <r>
      <rPr>
        <b/>
        <vertAlign val="superscript"/>
        <sz val="10"/>
        <rFont val="Arial"/>
        <family val="2"/>
      </rPr>
      <t>2</t>
    </r>
    <r>
      <rPr>
        <b/>
        <sz val="10"/>
        <rFont val="Arial"/>
        <family val="2"/>
      </rPr>
      <t xml:space="preserve">) </t>
    </r>
  </si>
  <si>
    <t>Light defoliation (cutting or rotational cattle grazing)</t>
  </si>
  <si>
    <t xml:space="preserve">2nd harvest year </t>
  </si>
  <si>
    <t>Total clover yield (% of 4.76 t/ha) #</t>
  </si>
  <si>
    <t>% clover</t>
  </si>
  <si>
    <t>Total clover yield (% of 4.14 t/ha) #</t>
  </si>
  <si>
    <t>Total yield of grass + clover (% of 9.72 t/ha) #</t>
  </si>
  <si>
    <t xml:space="preserve">3rd harvest year </t>
  </si>
  <si>
    <t>Light defoliation</t>
  </si>
  <si>
    <t>Hard defoliation</t>
  </si>
  <si>
    <t>Ground cover % (3rd harvest year)</t>
  </si>
  <si>
    <t xml:space="preserve">Autumn ground cover </t>
  </si>
  <si>
    <t xml:space="preserve">Spring ground cover </t>
  </si>
  <si>
    <t>Ground cover% (3rd harvest year)</t>
  </si>
  <si>
    <t>Total yield of grass + clover (% of 10.52 t/ha) #</t>
  </si>
  <si>
    <t>Year first listed</t>
  </si>
  <si>
    <t>White clover varieties</t>
  </si>
  <si>
    <t xml:space="preserve">Red clover varieties </t>
  </si>
  <si>
    <t>Conservation seasonal growth</t>
  </si>
  <si>
    <t>1st cut – 1st harvest year</t>
  </si>
  <si>
    <t>Protein content %</t>
  </si>
  <si>
    <t>2nd cut – 2nd harvest year</t>
  </si>
  <si>
    <t>2nd cut – 3rd harvest year</t>
  </si>
  <si>
    <t>Ground cover % (1st harvest year)</t>
  </si>
  <si>
    <t>Ground cover % (2nd harvest year)</t>
  </si>
  <si>
    <t>1st cut (% of 5.25 t/ha)</t>
  </si>
  <si>
    <t>Protein yield: 1st cut (% of 0.93 t/ha)</t>
  </si>
  <si>
    <t>2nd cut (% of 3.81 t/ha)</t>
  </si>
  <si>
    <t>Protein yield: 2nd cut (% of 0.72 t/ha)</t>
  </si>
  <si>
    <t>2nd cut (% of 3.19 t/ha)</t>
  </si>
  <si>
    <t>Protein yield: 2nd cut (% of 0.62 t/ha)</t>
  </si>
  <si>
    <t xml:space="preserve">Italian ryegrass diploid varieties </t>
  </si>
  <si>
    <t>Diploid mean 
(G's only)</t>
  </si>
  <si>
    <t>Total annual yields</t>
  </si>
  <si>
    <t>Year of sowing (% of 1.86 t/ha)</t>
  </si>
  <si>
    <t>Conservation seasonal growth (1st harvest year)</t>
  </si>
  <si>
    <t>Year of sowing</t>
  </si>
  <si>
    <t xml:space="preserve">1st conservation cut D-value </t>
  </si>
  <si>
    <t>2nd conservation cut D-value</t>
  </si>
  <si>
    <t>Monthly cuts (% of 5.14 t/ha)</t>
  </si>
  <si>
    <t>Winter hardiness (1–9, 1= poor 9= good)</t>
  </si>
  <si>
    <t>Ryegrass mosaic virus (1–9, 1= poor 9= good)</t>
  </si>
  <si>
    <t>Mildew (1–9, 1= poor 9= good)</t>
  </si>
  <si>
    <t>Brown rust (1–9, 1= poor 9= good)</t>
  </si>
  <si>
    <t>Crown rust (1–9, 1= poor 9= good)</t>
  </si>
  <si>
    <t xml:space="preserve">Italian ryegrass tetraploid varieties </t>
  </si>
  <si>
    <t>Tetraploid mean 
(G's only)</t>
  </si>
  <si>
    <t>Hybrid ryegrass varieties</t>
  </si>
  <si>
    <t>Diploid 
mean
(G and S)</t>
  </si>
  <si>
    <t>Tetraploid 
mean (G's only)</t>
  </si>
  <si>
    <t>Year of sowing (% of 1.62 t/ha)</t>
  </si>
  <si>
    <t>ME yield (% of 106,000 mj/ha)</t>
  </si>
  <si>
    <t>Timothy varieties</t>
  </si>
  <si>
    <t>Ground cover % (grazing)</t>
  </si>
  <si>
    <t>Ground cover % (conservation year 3)</t>
  </si>
  <si>
    <t>Early summer (% of 3.35 t/ha)</t>
  </si>
  <si>
    <t>Late summer (% of 2.39 t/ha)</t>
  </si>
  <si>
    <t>Conservation seasonal growth – year 1</t>
  </si>
  <si>
    <t xml:space="preserve">1st cut D-value </t>
  </si>
  <si>
    <t>4th + cut (% of 2.18 t/ha)</t>
  </si>
  <si>
    <t>Early perennial ryegrass varieties</t>
  </si>
  <si>
    <t>Early diploid 
mean (G's only)</t>
  </si>
  <si>
    <t>1st and 2nd cut ME yield, first harvest year 
(% of 114 000 MJ/ha)</t>
  </si>
  <si>
    <t>1st and 2nd cut ME yield, first harvest year
(% of 112,000 MJ/ha)</t>
  </si>
  <si>
    <t>ME yield of 1st + 2nd cut year 1 (% of 98,000 MJ/ha)</t>
  </si>
  <si>
    <t>ME yield (% of 113 000 mj/ha)</t>
  </si>
  <si>
    <t>1st and 2nd cut ME yield, first harvest year                             (% of 119,000 MJ/ha)</t>
  </si>
  <si>
    <t>Early summer (% of 3.21 t/ha)</t>
  </si>
  <si>
    <t>Late summer (% of 2.20 t/ha)</t>
  </si>
  <si>
    <t>1st cut D-value</t>
  </si>
  <si>
    <t xml:space="preserve">2nd cut D-value </t>
  </si>
  <si>
    <t>4th + cut (% of 2.93 t/ha)</t>
  </si>
  <si>
    <t>Drechslera (1–9, 1= poor 9= good)</t>
  </si>
  <si>
    <t xml:space="preserve">Intermediate perennial ryegrass diploid varieties  </t>
  </si>
  <si>
    <t>INT. diploid 
mean 
(G's only)</t>
  </si>
  <si>
    <t>ME yield (% of 113,000 MJ/ha)</t>
  </si>
  <si>
    <t>INT. tetraploid
mean (G and S)</t>
  </si>
  <si>
    <t xml:space="preserve">Intermediate perennial ryegrass tetraploid varieties 
</t>
  </si>
  <si>
    <t xml:space="preserve">Late perennial ryegrass diploid varieties  </t>
  </si>
  <si>
    <t>Late diploid            
mean (G's only)</t>
  </si>
  <si>
    <t xml:space="preserve">Late perennial ryegrass tetraploid varieties  </t>
  </si>
  <si>
    <t>Late tetraploid           
mean (G and S)</t>
  </si>
  <si>
    <t>Descriptive list of lucerne varieties</t>
  </si>
  <si>
    <t>Total yield: Mean (% of 12.29 t/ha)</t>
  </si>
  <si>
    <t>Seasonal growth (1st harvest year_</t>
  </si>
  <si>
    <t>1st cut (% of 3.89 t/ha)</t>
  </si>
  <si>
    <t>Protein content %: 1st cut</t>
  </si>
  <si>
    <t xml:space="preserve">Descriptive list of cocksfoot varieties  </t>
  </si>
  <si>
    <t>Ground cover % (conservation year 1)</t>
  </si>
  <si>
    <t>Early summer (% of 2.96 t/ha)</t>
  </si>
  <si>
    <t>Late summer (% of 2.04 t/ha)</t>
  </si>
  <si>
    <t xml:space="preserve">2nd conservation cut D-value </t>
  </si>
  <si>
    <t>4th + cut (% of 3.41 t/ha)</t>
  </si>
  <si>
    <t>Mastigosporium (1–9, 1= poor 9= good)</t>
  </si>
  <si>
    <t>Yellow rust (1–9, 1= poor 9= good)</t>
  </si>
  <si>
    <t xml:space="preserve">Early tetraploid mean 
</t>
  </si>
  <si>
    <t>Kubicek</t>
  </si>
  <si>
    <t>Breeder</t>
  </si>
  <si>
    <t>Agrent</t>
  </si>
  <si>
    <t>Teagasc, Eire</t>
  </si>
  <si>
    <t>AFBI, UK</t>
  </si>
  <si>
    <t>IBERS, Aberystwyth</t>
  </si>
  <si>
    <t>R2n, France</t>
  </si>
  <si>
    <t>Barenbrug NZ</t>
  </si>
  <si>
    <t>DLF Seeds Ltd</t>
  </si>
  <si>
    <t>Barenbrug UK 
Ltd</t>
  </si>
  <si>
    <t>Germinal</t>
  </si>
  <si>
    <t>RAGT Seeds Ltd</t>
  </si>
  <si>
    <t>Barenbrug 
UK Ltd</t>
  </si>
  <si>
    <t>DLF Seeds A/S</t>
  </si>
  <si>
    <t>DSV, UK</t>
  </si>
  <si>
    <t>DSV</t>
  </si>
  <si>
    <t>Limagrain 
UK Ltd</t>
  </si>
  <si>
    <t>IBERS, 
Aberystwyth</t>
  </si>
  <si>
    <t>Agent</t>
  </si>
  <si>
    <t>Goldcrop Ltd</t>
  </si>
  <si>
    <t>Limagrain UK Ltd</t>
  </si>
  <si>
    <t>GIE Grass</t>
  </si>
  <si>
    <t>ILVO/DSV</t>
  </si>
  <si>
    <t>Force Limagrain</t>
  </si>
  <si>
    <t>Innoseeds, NL</t>
  </si>
  <si>
    <t>Semences de France</t>
  </si>
  <si>
    <t>ILVO</t>
  </si>
  <si>
    <t>Freudenberger UK Ltd</t>
  </si>
  <si>
    <t>DSV, Germany</t>
  </si>
  <si>
    <t>Barenbrug, NL</t>
  </si>
  <si>
    <t>Barenbrug UK Ltd</t>
  </si>
  <si>
    <t>Barlaunch</t>
  </si>
  <si>
    <t>Steinach, Germany / DSV</t>
  </si>
  <si>
    <t>DSV, Netherlands</t>
  </si>
  <si>
    <t>Grasslands Innovation Ltd</t>
  </si>
  <si>
    <t>AgResearch Ltd (New Zealand)</t>
  </si>
  <si>
    <t xml:space="preserve">PGG Wrightson Seeds </t>
  </si>
  <si>
    <t>Grasslanz Technology Ltd</t>
  </si>
  <si>
    <t>Nord. Pflan/DSV</t>
  </si>
  <si>
    <t>Slechtitelskà stanice, The Czech Republic</t>
  </si>
  <si>
    <t>DSV, France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</si>
</sst>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d\-mmm"/>
    <numFmt numFmtId="165" formatCode="0.0"/>
    <numFmt numFmtId="166" formatCode="0.000"/>
    <numFmt numFmtId="167" formatCode="0.00000"/>
    <numFmt numFmtId="168" formatCode="dd/mm"/>
  </numFmts>
  <fonts count="51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9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sz val="10"/>
      <name val="Arial"/>
      <family val="2"/>
    </font>
    <font>
      <sz val="10"/>
      <color indexed="9"/>
      <name val="Arial"/>
      <family val="2"/>
    </font>
    <font>
      <b/>
      <vertAlign val="superscript"/>
      <sz val="10"/>
      <name val="Arial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0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b/>
      <sz val="18"/>
      <color indexed="56"/>
      <name val="Cambria"/>
      <family val="2"/>
    </font>
    <font>
      <sz val="10"/>
      <color indexed="9"/>
      <name val="Arial"/>
      <family val="2"/>
    </font>
    <font>
      <sz val="10"/>
      <color indexed="8"/>
      <name val="Arial"/>
      <family val="2"/>
    </font>
    <font>
      <b/>
      <sz val="10"/>
      <color indexed="9"/>
      <name val="Arial"/>
      <family val="2"/>
    </font>
    <font>
      <sz val="10"/>
      <color indexed="9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indexed="52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indexed="6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10"/>
      <color rgb="FF00B050"/>
      <name val="Arial"/>
      <family val="2"/>
    </font>
    <font>
      <b/>
      <sz val="10"/>
      <color rgb="FF00B050"/>
      <name val="Arial"/>
      <family val="2"/>
    </font>
    <font>
      <sz val="11"/>
      <color rgb="FF00B050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</fonts>
  <fills count="2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8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6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hair">
        <color indexed="64"/>
      </top>
      <bottom style="hair">
        <color indexed="64"/>
      </bottom>
      <diagonal/>
    </border>
    <border>
      <left style="thick">
        <color indexed="64"/>
      </left>
      <right/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ck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ck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medium">
        <color indexed="64"/>
      </right>
      <top/>
      <bottom style="hair">
        <color indexed="64"/>
      </bottom>
      <diagonal/>
    </border>
    <border>
      <left style="double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/>
      <bottom style="hair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hair">
        <color indexed="64"/>
      </bottom>
      <diagonal/>
    </border>
    <border>
      <left/>
      <right style="thick">
        <color indexed="64"/>
      </right>
      <top style="hair">
        <color indexed="64"/>
      </top>
      <bottom style="hair">
        <color indexed="64"/>
      </bottom>
      <diagonal/>
    </border>
    <border>
      <left/>
      <right style="thick">
        <color indexed="64"/>
      </right>
      <top style="hair">
        <color indexed="64"/>
      </top>
      <bottom/>
      <diagonal/>
    </border>
    <border>
      <left/>
      <right style="thick">
        <color indexed="64"/>
      </right>
      <top style="hair">
        <color indexed="64"/>
      </top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996">
    <xf numFmtId="0" fontId="0" fillId="0" borderId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2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3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19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20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5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11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5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7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21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5" fillId="6" borderId="122" applyNumberFormat="0" applyAlignment="0" applyProtection="0"/>
    <xf numFmtId="0" fontId="36" fillId="22" borderId="123" applyNumberFormat="0" applyAlignment="0" applyProtection="0"/>
    <xf numFmtId="0" fontId="37" fillId="0" borderId="0" applyNumberFormat="0" applyFill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38" fillId="4" borderId="0" applyNumberFormat="0" applyBorder="0" applyAlignment="0" applyProtection="0"/>
    <xf numFmtId="0" fontId="23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23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23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24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24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24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25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5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5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5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39" fillId="6" borderId="122" applyNumberFormat="0" applyAlignment="0" applyProtection="0"/>
    <xf numFmtId="0" fontId="26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6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6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0" fillId="2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2" fillId="0" borderId="0"/>
    <xf numFmtId="0" fontId="4" fillId="0" borderId="0"/>
    <xf numFmtId="0" fontId="4" fillId="0" borderId="0"/>
    <xf numFmtId="0" fontId="1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15" fillId="24" borderId="124" applyNumberFormat="0" applyFon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41" fillId="6" borderId="125" applyNumberFormat="0" applyAlignment="0" applyProtection="0"/>
    <xf numFmtId="0" fontId="8" fillId="0" borderId="0"/>
    <xf numFmtId="0" fontId="27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2" fillId="0" borderId="5" applyNumberFormat="0" applyFill="0" applyAlignment="0" applyProtection="0"/>
    <xf numFmtId="0" fontId="43" fillId="0" borderId="0" applyNumberFormat="0" applyFill="0" applyBorder="0" applyAlignment="0" applyProtection="0"/>
    <xf numFmtId="0" fontId="1" fillId="0" borderId="0"/>
  </cellStyleXfs>
  <cellXfs count="1235">
    <xf numFmtId="0" fontId="0" fillId="0" borderId="0" xfId="0"/>
    <xf numFmtId="0" fontId="4" fillId="0" borderId="0" xfId="0" applyFont="1"/>
    <xf numFmtId="0" fontId="5" fillId="0" borderId="0" xfId="0" applyFont="1" applyAlignment="1" applyProtection="1">
      <alignment horizontal="center" textRotation="90"/>
      <protection hidden="1"/>
    </xf>
    <xf numFmtId="0" fontId="5" fillId="0" borderId="0" xfId="0" applyFont="1" applyAlignment="1" applyProtection="1">
      <alignment horizontal="center" textRotation="90" wrapText="1"/>
      <protection hidden="1"/>
    </xf>
    <xf numFmtId="0" fontId="4" fillId="0" borderId="8" xfId="0" applyFont="1" applyBorder="1" applyAlignment="1" applyProtection="1">
      <alignment horizontal="center" textRotation="90"/>
      <protection hidden="1"/>
    </xf>
    <xf numFmtId="1" fontId="4" fillId="0" borderId="6" xfId="0" applyNumberFormat="1" applyFont="1" applyBorder="1" applyAlignment="1" applyProtection="1">
      <alignment horizontal="center"/>
      <protection hidden="1"/>
    </xf>
    <xf numFmtId="0" fontId="5" fillId="0" borderId="0" xfId="0" applyFont="1"/>
    <xf numFmtId="0" fontId="2" fillId="0" borderId="0" xfId="0" applyFont="1"/>
    <xf numFmtId="0" fontId="4" fillId="0" borderId="0" xfId="0" applyFont="1" applyAlignment="1" applyProtection="1">
      <alignment horizontal="center"/>
      <protection hidden="1"/>
    </xf>
    <xf numFmtId="0" fontId="4" fillId="0" borderId="17" xfId="0" applyFont="1" applyBorder="1" applyAlignment="1" applyProtection="1">
      <alignment horizontal="center"/>
      <protection hidden="1"/>
    </xf>
    <xf numFmtId="1" fontId="4" fillId="0" borderId="14" xfId="0" applyNumberFormat="1" applyFont="1" applyBorder="1" applyAlignment="1" applyProtection="1">
      <alignment horizontal="center"/>
      <protection hidden="1"/>
    </xf>
    <xf numFmtId="0" fontId="4" fillId="0" borderId="8" xfId="0" applyFont="1" applyBorder="1" applyAlignment="1">
      <alignment horizontal="center" textRotation="90"/>
    </xf>
    <xf numFmtId="0" fontId="4" fillId="0" borderId="17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19" xfId="0" applyFont="1" applyBorder="1"/>
    <xf numFmtId="0" fontId="5" fillId="0" borderId="30" xfId="0" applyFont="1" applyBorder="1" applyAlignment="1" applyProtection="1">
      <alignment horizontal="right" vertical="center"/>
      <protection hidden="1"/>
    </xf>
    <xf numFmtId="1" fontId="4" fillId="0" borderId="18" xfId="0" applyNumberFormat="1" applyFont="1" applyBorder="1" applyAlignment="1" applyProtection="1">
      <alignment horizontal="center"/>
      <protection hidden="1"/>
    </xf>
    <xf numFmtId="165" fontId="4" fillId="0" borderId="22" xfId="0" applyNumberFormat="1" applyFont="1" applyBorder="1" applyAlignment="1" applyProtection="1">
      <alignment horizontal="center"/>
      <protection hidden="1"/>
    </xf>
    <xf numFmtId="165" fontId="4" fillId="0" borderId="14" xfId="0" applyNumberFormat="1" applyFont="1" applyBorder="1" applyAlignment="1" applyProtection="1">
      <alignment horizontal="center"/>
      <protection hidden="1"/>
    </xf>
    <xf numFmtId="0" fontId="3" fillId="0" borderId="0" xfId="0" applyFont="1" applyProtection="1">
      <protection hidden="1"/>
    </xf>
    <xf numFmtId="0" fontId="5" fillId="0" borderId="36" xfId="0" applyFont="1" applyBorder="1" applyAlignment="1" applyProtection="1">
      <alignment horizontal="right" vertical="center"/>
      <protection locked="0" hidden="1"/>
    </xf>
    <xf numFmtId="0" fontId="4" fillId="0" borderId="6" xfId="0" applyFont="1" applyBorder="1" applyAlignment="1" applyProtection="1">
      <alignment horizontal="center"/>
      <protection hidden="1"/>
    </xf>
    <xf numFmtId="0" fontId="28" fillId="0" borderId="0" xfId="0" applyFont="1"/>
    <xf numFmtId="0" fontId="4" fillId="0" borderId="18" xfId="0" applyFont="1" applyBorder="1" applyAlignment="1" applyProtection="1">
      <alignment horizontal="center"/>
      <protection hidden="1"/>
    </xf>
    <xf numFmtId="165" fontId="5" fillId="0" borderId="36" xfId="0" applyNumberFormat="1" applyFont="1" applyBorder="1"/>
    <xf numFmtId="0" fontId="4" fillId="0" borderId="11" xfId="0" applyFont="1" applyBorder="1"/>
    <xf numFmtId="1" fontId="5" fillId="0" borderId="36" xfId="0" applyNumberFormat="1" applyFont="1" applyBorder="1" applyAlignment="1" applyProtection="1">
      <alignment horizontal="right"/>
      <protection hidden="1"/>
    </xf>
    <xf numFmtId="0" fontId="5" fillId="0" borderId="12" xfId="0" applyFont="1" applyBorder="1" applyAlignment="1">
      <alignment horizontal="center" textRotation="90" wrapText="1"/>
    </xf>
    <xf numFmtId="1" fontId="4" fillId="0" borderId="17" xfId="0" applyNumberFormat="1" applyFont="1" applyBorder="1" applyAlignment="1" applyProtection="1">
      <alignment horizontal="center" vertical="center"/>
      <protection hidden="1"/>
    </xf>
    <xf numFmtId="0" fontId="3" fillId="0" borderId="0" xfId="0" applyFont="1" applyProtection="1">
      <protection locked="0" hidden="1"/>
    </xf>
    <xf numFmtId="0" fontId="8" fillId="0" borderId="0" xfId="0" applyFont="1" applyAlignment="1" applyProtection="1">
      <alignment horizontal="center"/>
      <protection locked="0" hidden="1"/>
    </xf>
    <xf numFmtId="0" fontId="8" fillId="0" borderId="0" xfId="0" applyFont="1"/>
    <xf numFmtId="0" fontId="4" fillId="0" borderId="12" xfId="0" applyFont="1" applyBorder="1" applyAlignment="1" applyProtection="1">
      <alignment horizontal="center"/>
      <protection locked="0" hidden="1"/>
    </xf>
    <xf numFmtId="0" fontId="4" fillId="0" borderId="17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12" fillId="0" borderId="0" xfId="0" applyFont="1"/>
    <xf numFmtId="0" fontId="2" fillId="0" borderId="29" xfId="0" applyFont="1" applyBorder="1"/>
    <xf numFmtId="0" fontId="4" fillId="0" borderId="45" xfId="0" applyFont="1" applyBorder="1"/>
    <xf numFmtId="0" fontId="5" fillId="0" borderId="27" xfId="0" applyFont="1" applyBorder="1" applyAlignment="1">
      <alignment horizontal="center" textRotation="90" wrapText="1"/>
    </xf>
    <xf numFmtId="1" fontId="4" fillId="0" borderId="21" xfId="0" applyNumberFormat="1" applyFont="1" applyBorder="1" applyAlignment="1" applyProtection="1">
      <alignment horizontal="center"/>
      <protection hidden="1"/>
    </xf>
    <xf numFmtId="0" fontId="5" fillId="0" borderId="34" xfId="0" applyFont="1" applyBorder="1" applyAlignment="1" applyProtection="1">
      <alignment horizontal="right" vertical="center"/>
      <protection hidden="1"/>
    </xf>
    <xf numFmtId="1" fontId="4" fillId="0" borderId="22" xfId="0" applyNumberFormat="1" applyFont="1" applyBorder="1" applyAlignment="1" applyProtection="1">
      <alignment horizontal="center"/>
      <protection hidden="1"/>
    </xf>
    <xf numFmtId="0" fontId="5" fillId="0" borderId="50" xfId="0" applyFont="1" applyBorder="1" applyAlignment="1">
      <alignment horizontal="center" textRotation="90" wrapText="1"/>
    </xf>
    <xf numFmtId="0" fontId="0" fillId="0" borderId="0" xfId="0" applyAlignment="1">
      <alignment horizontal="center"/>
    </xf>
    <xf numFmtId="0" fontId="28" fillId="0" borderId="0" xfId="0" applyFont="1" applyAlignment="1">
      <alignment horizontal="center"/>
    </xf>
    <xf numFmtId="0" fontId="8" fillId="0" borderId="0" xfId="0" applyFont="1" applyAlignment="1" applyProtection="1">
      <alignment horizontal="center"/>
      <protection locked="0"/>
    </xf>
    <xf numFmtId="0" fontId="8" fillId="0" borderId="0" xfId="0" applyFont="1" applyAlignment="1">
      <alignment horizontal="center"/>
    </xf>
    <xf numFmtId="0" fontId="30" fillId="0" borderId="0" xfId="0" applyFont="1" applyAlignment="1">
      <alignment horizontal="center"/>
    </xf>
    <xf numFmtId="0" fontId="3" fillId="0" borderId="0" xfId="0" applyFont="1" applyAlignment="1" applyProtection="1">
      <alignment horizontal="center"/>
      <protection hidden="1"/>
    </xf>
    <xf numFmtId="0" fontId="8" fillId="0" borderId="0" xfId="0" applyFont="1" applyProtection="1">
      <protection hidden="1"/>
    </xf>
    <xf numFmtId="0" fontId="5" fillId="0" borderId="41" xfId="0" applyFont="1" applyBorder="1" applyAlignment="1">
      <alignment horizontal="center" textRotation="90" wrapText="1"/>
    </xf>
    <xf numFmtId="1" fontId="4" fillId="0" borderId="56" xfId="0" applyNumberFormat="1" applyFont="1" applyBorder="1" applyAlignment="1" applyProtection="1">
      <alignment horizontal="center" vertical="center"/>
      <protection hidden="1"/>
    </xf>
    <xf numFmtId="1" fontId="4" fillId="0" borderId="14" xfId="0" applyNumberFormat="1" applyFont="1" applyBorder="1" applyAlignment="1" applyProtection="1">
      <alignment horizontal="center" vertical="center"/>
      <protection hidden="1"/>
    </xf>
    <xf numFmtId="1" fontId="4" fillId="0" borderId="28" xfId="0" applyNumberFormat="1" applyFont="1" applyBorder="1" applyAlignment="1" applyProtection="1">
      <alignment horizontal="center" vertical="center"/>
      <protection hidden="1"/>
    </xf>
    <xf numFmtId="1" fontId="4" fillId="0" borderId="20" xfId="0" applyNumberFormat="1" applyFont="1" applyBorder="1" applyAlignment="1">
      <alignment horizontal="center" vertical="center"/>
    </xf>
    <xf numFmtId="1" fontId="4" fillId="0" borderId="13" xfId="0" applyNumberFormat="1" applyFont="1" applyBorder="1" applyAlignment="1" applyProtection="1">
      <alignment horizontal="center" vertical="center"/>
      <protection hidden="1"/>
    </xf>
    <xf numFmtId="165" fontId="4" fillId="0" borderId="20" xfId="0" applyNumberFormat="1" applyFont="1" applyBorder="1" applyAlignment="1" applyProtection="1">
      <alignment horizontal="center" vertical="center"/>
      <protection hidden="1"/>
    </xf>
    <xf numFmtId="1" fontId="4" fillId="0" borderId="22" xfId="0" applyNumberFormat="1" applyFont="1" applyBorder="1" applyAlignment="1">
      <alignment horizontal="center" vertical="center"/>
    </xf>
    <xf numFmtId="165" fontId="4" fillId="0" borderId="22" xfId="0" applyNumberFormat="1" applyFont="1" applyBorder="1" applyAlignment="1" applyProtection="1">
      <alignment horizontal="center" vertical="center"/>
      <protection hidden="1"/>
    </xf>
    <xf numFmtId="1" fontId="2" fillId="0" borderId="57" xfId="0" applyNumberFormat="1" applyFont="1" applyBorder="1" applyAlignment="1" applyProtection="1">
      <alignment horizontal="center" vertical="center"/>
      <protection hidden="1"/>
    </xf>
    <xf numFmtId="1" fontId="2" fillId="0" borderId="56" xfId="0" applyNumberFormat="1" applyFont="1" applyBorder="1" applyAlignment="1" applyProtection="1">
      <alignment horizontal="center" vertical="center"/>
      <protection hidden="1"/>
    </xf>
    <xf numFmtId="165" fontId="4" fillId="0" borderId="22" xfId="0" applyNumberFormat="1" applyFont="1" applyBorder="1" applyAlignment="1">
      <alignment horizontal="center" vertical="center"/>
    </xf>
    <xf numFmtId="1" fontId="4" fillId="0" borderId="33" xfId="0" applyNumberFormat="1" applyFont="1" applyBorder="1" applyAlignment="1" applyProtection="1">
      <alignment horizontal="center"/>
      <protection hidden="1"/>
    </xf>
    <xf numFmtId="0" fontId="10" fillId="0" borderId="11" xfId="0" applyFont="1" applyBorder="1" applyProtection="1">
      <protection hidden="1"/>
    </xf>
    <xf numFmtId="165" fontId="4" fillId="0" borderId="44" xfId="0" applyNumberFormat="1" applyFont="1" applyBorder="1" applyProtection="1">
      <protection hidden="1"/>
    </xf>
    <xf numFmtId="0" fontId="5" fillId="0" borderId="36" xfId="0" applyFont="1" applyBorder="1" applyAlignment="1" applyProtection="1">
      <alignment horizontal="right"/>
      <protection hidden="1"/>
    </xf>
    <xf numFmtId="1" fontId="0" fillId="0" borderId="0" xfId="0" applyNumberFormat="1" applyAlignment="1">
      <alignment horizontal="left"/>
    </xf>
    <xf numFmtId="0" fontId="4" fillId="0" borderId="30" xfId="0" applyFont="1" applyBorder="1" applyAlignment="1" applyProtection="1">
      <alignment vertical="center"/>
      <protection hidden="1"/>
    </xf>
    <xf numFmtId="0" fontId="5" fillId="0" borderId="46" xfId="0" applyFont="1" applyBorder="1" applyAlignment="1">
      <alignment horizontal="center" textRotation="90" wrapText="1"/>
    </xf>
    <xf numFmtId="0" fontId="12" fillId="0" borderId="29" xfId="0" applyFont="1" applyBorder="1"/>
    <xf numFmtId="0" fontId="5" fillId="0" borderId="37" xfId="0" applyFont="1" applyBorder="1"/>
    <xf numFmtId="0" fontId="3" fillId="0" borderId="50" xfId="0" applyFont="1" applyBorder="1" applyProtection="1">
      <protection locked="0"/>
    </xf>
    <xf numFmtId="0" fontId="8" fillId="0" borderId="46" xfId="0" applyFont="1" applyBorder="1" applyAlignment="1" applyProtection="1">
      <alignment horizontal="center"/>
      <protection locked="0"/>
    </xf>
    <xf numFmtId="0" fontId="8" fillId="0" borderId="50" xfId="0" applyFont="1" applyBorder="1" applyAlignment="1" applyProtection="1">
      <alignment horizontal="center"/>
      <protection locked="0"/>
    </xf>
    <xf numFmtId="0" fontId="4" fillId="0" borderId="39" xfId="0" applyFont="1" applyBorder="1"/>
    <xf numFmtId="0" fontId="5" fillId="0" borderId="39" xfId="0" applyFont="1" applyBorder="1" applyAlignment="1">
      <alignment horizontal="center" textRotation="90" wrapText="1"/>
    </xf>
    <xf numFmtId="0" fontId="2" fillId="0" borderId="61" xfId="0" applyFont="1" applyBorder="1" applyAlignment="1" applyProtection="1">
      <alignment horizontal="center" vertical="top" textRotation="180"/>
      <protection hidden="1"/>
    </xf>
    <xf numFmtId="0" fontId="2" fillId="0" borderId="62" xfId="0" applyFont="1" applyBorder="1" applyAlignment="1" applyProtection="1">
      <alignment horizontal="center" vertical="top" textRotation="180"/>
      <protection hidden="1"/>
    </xf>
    <xf numFmtId="1" fontId="4" fillId="0" borderId="22" xfId="0" applyNumberFormat="1" applyFont="1" applyBorder="1" applyAlignment="1" applyProtection="1">
      <alignment horizontal="center" vertical="center"/>
      <protection hidden="1"/>
    </xf>
    <xf numFmtId="0" fontId="2" fillId="0" borderId="0" xfId="0" applyFont="1" applyAlignment="1">
      <alignment horizontal="center" vertical="center"/>
    </xf>
    <xf numFmtId="0" fontId="5" fillId="0" borderId="30" xfId="0" applyFont="1" applyBorder="1" applyAlignment="1" applyProtection="1">
      <alignment vertical="center"/>
      <protection hidden="1"/>
    </xf>
    <xf numFmtId="0" fontId="5" fillId="0" borderId="34" xfId="0" applyFont="1" applyBorder="1" applyAlignment="1" applyProtection="1">
      <alignment vertical="center"/>
      <protection hidden="1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28" xfId="0" applyFont="1" applyBorder="1" applyAlignment="1">
      <alignment vertical="center"/>
    </xf>
    <xf numFmtId="0" fontId="5" fillId="0" borderId="34" xfId="0" applyFont="1" applyBorder="1" applyAlignment="1">
      <alignment vertical="center"/>
    </xf>
    <xf numFmtId="0" fontId="0" fillId="0" borderId="34" xfId="0" applyBorder="1" applyAlignment="1">
      <alignment vertical="center"/>
    </xf>
    <xf numFmtId="0" fontId="0" fillId="0" borderId="58" xfId="0" applyBorder="1" applyAlignment="1">
      <alignment vertical="center"/>
    </xf>
    <xf numFmtId="0" fontId="0" fillId="0" borderId="28" xfId="0" applyBorder="1" applyAlignment="1">
      <alignment vertical="center"/>
    </xf>
    <xf numFmtId="0" fontId="5" fillId="0" borderId="30" xfId="0" applyFont="1" applyBorder="1" applyAlignment="1">
      <alignment vertical="center"/>
    </xf>
    <xf numFmtId="0" fontId="4" fillId="0" borderId="67" xfId="0" applyFont="1" applyBorder="1" applyAlignment="1">
      <alignment vertical="center"/>
    </xf>
    <xf numFmtId="0" fontId="0" fillId="0" borderId="29" xfId="0" applyBorder="1" applyAlignment="1">
      <alignment vertical="center"/>
    </xf>
    <xf numFmtId="0" fontId="2" fillId="0" borderId="0" xfId="0" applyFont="1" applyProtection="1">
      <protection hidden="1"/>
    </xf>
    <xf numFmtId="0" fontId="9" fillId="0" borderId="50" xfId="0" applyFont="1" applyBorder="1" applyProtection="1">
      <protection hidden="1"/>
    </xf>
    <xf numFmtId="0" fontId="9" fillId="0" borderId="68" xfId="0" applyFont="1" applyBorder="1" applyAlignment="1" applyProtection="1">
      <alignment horizontal="center"/>
      <protection hidden="1"/>
    </xf>
    <xf numFmtId="0" fontId="11" fillId="0" borderId="48" xfId="0" applyFont="1" applyBorder="1" applyProtection="1">
      <protection hidden="1"/>
    </xf>
    <xf numFmtId="0" fontId="4" fillId="0" borderId="26" xfId="0" quotePrefix="1" applyFont="1" applyBorder="1" applyAlignment="1">
      <alignment horizontal="center" vertical="center"/>
    </xf>
    <xf numFmtId="1" fontId="4" fillId="0" borderId="37" xfId="0" applyNumberFormat="1" applyFont="1" applyBorder="1" applyAlignment="1" applyProtection="1">
      <alignment horizontal="center" vertical="center"/>
      <protection hidden="1"/>
    </xf>
    <xf numFmtId="165" fontId="4" fillId="0" borderId="33" xfId="0" applyNumberFormat="1" applyFont="1" applyBorder="1" applyAlignment="1" applyProtection="1">
      <alignment horizontal="center" vertical="center"/>
      <protection hidden="1"/>
    </xf>
    <xf numFmtId="1" fontId="4" fillId="0" borderId="18" xfId="0" applyNumberFormat="1" applyFont="1" applyBorder="1" applyAlignment="1" applyProtection="1">
      <alignment horizontal="center" vertical="center"/>
      <protection hidden="1"/>
    </xf>
    <xf numFmtId="1" fontId="4" fillId="0" borderId="21" xfId="0" applyNumberFormat="1" applyFont="1" applyBorder="1" applyAlignment="1" applyProtection="1">
      <alignment horizontal="center" vertical="center"/>
      <protection locked="0" hidden="1"/>
    </xf>
    <xf numFmtId="1" fontId="4" fillId="0" borderId="6" xfId="0" applyNumberFormat="1" applyFont="1" applyBorder="1" applyAlignment="1" applyProtection="1">
      <alignment horizontal="center" vertical="center"/>
      <protection hidden="1"/>
    </xf>
    <xf numFmtId="1" fontId="4" fillId="0" borderId="71" xfId="0" applyNumberFormat="1" applyFont="1" applyBorder="1" applyAlignment="1" applyProtection="1">
      <alignment horizontal="center" vertical="center"/>
      <protection hidden="1"/>
    </xf>
    <xf numFmtId="1" fontId="4" fillId="0" borderId="21" xfId="0" applyNumberFormat="1" applyFont="1" applyBorder="1" applyAlignment="1">
      <alignment horizontal="center" vertical="center"/>
    </xf>
    <xf numFmtId="1" fontId="4" fillId="0" borderId="29" xfId="0" applyNumberFormat="1" applyFont="1" applyBorder="1" applyAlignment="1" applyProtection="1">
      <alignment horizontal="center" vertical="center"/>
      <protection hidden="1"/>
    </xf>
    <xf numFmtId="0" fontId="4" fillId="0" borderId="12" xfId="0" applyFont="1" applyBorder="1"/>
    <xf numFmtId="0" fontId="28" fillId="0" borderId="0" xfId="0" applyFont="1" applyAlignment="1">
      <alignment vertical="center"/>
    </xf>
    <xf numFmtId="0" fontId="5" fillId="0" borderId="36" xfId="0" applyFont="1" applyBorder="1" applyAlignment="1">
      <alignment vertical="center"/>
    </xf>
    <xf numFmtId="0" fontId="0" fillId="0" borderId="76" xfId="0" applyBorder="1" applyAlignment="1">
      <alignment vertical="center"/>
    </xf>
    <xf numFmtId="0" fontId="12" fillId="0" borderId="0" xfId="0" applyFont="1" applyAlignment="1">
      <alignment vertical="center"/>
    </xf>
    <xf numFmtId="0" fontId="12" fillId="0" borderId="34" xfId="0" applyFont="1" applyBorder="1" applyAlignment="1">
      <alignment vertical="center"/>
    </xf>
    <xf numFmtId="1" fontId="5" fillId="0" borderId="27" xfId="0" applyNumberFormat="1" applyFont="1" applyBorder="1" applyAlignment="1" applyProtection="1">
      <alignment vertical="center"/>
      <protection locked="0" hidden="1"/>
    </xf>
    <xf numFmtId="0" fontId="12" fillId="0" borderId="76" xfId="0" applyFont="1" applyBorder="1" applyAlignment="1">
      <alignment vertical="center"/>
    </xf>
    <xf numFmtId="0" fontId="5" fillId="0" borderId="48" xfId="0" applyFont="1" applyBorder="1" applyAlignment="1">
      <alignment vertical="center"/>
    </xf>
    <xf numFmtId="0" fontId="5" fillId="0" borderId="36" xfId="0" applyFont="1" applyBorder="1" applyAlignment="1" applyProtection="1">
      <alignment horizontal="right" vertical="center"/>
      <protection hidden="1"/>
    </xf>
    <xf numFmtId="0" fontId="5" fillId="0" borderId="36" xfId="0" applyFont="1" applyBorder="1" applyAlignment="1">
      <alignment horizontal="left" vertical="center"/>
    </xf>
    <xf numFmtId="0" fontId="4" fillId="0" borderId="45" xfId="0" applyFont="1" applyBorder="1" applyAlignment="1">
      <alignment vertical="center"/>
    </xf>
    <xf numFmtId="0" fontId="5" fillId="0" borderId="36" xfId="0" applyFont="1" applyBorder="1" applyAlignment="1">
      <alignment horizontal="right" vertical="center"/>
    </xf>
    <xf numFmtId="0" fontId="5" fillId="0" borderId="64" xfId="1540" applyFont="1" applyBorder="1" applyAlignment="1" applyProtection="1">
      <alignment vertical="center"/>
      <protection hidden="1"/>
    </xf>
    <xf numFmtId="0" fontId="4" fillId="0" borderId="58" xfId="1540" applyBorder="1" applyAlignment="1" applyProtection="1">
      <alignment vertical="center"/>
      <protection hidden="1"/>
    </xf>
    <xf numFmtId="1" fontId="4" fillId="0" borderId="28" xfId="1540" applyNumberFormat="1" applyBorder="1" applyAlignment="1" applyProtection="1">
      <alignment vertical="center"/>
      <protection hidden="1"/>
    </xf>
    <xf numFmtId="0" fontId="4" fillId="0" borderId="28" xfId="1540" applyBorder="1" applyAlignment="1" applyProtection="1">
      <alignment vertical="center"/>
      <protection hidden="1"/>
    </xf>
    <xf numFmtId="0" fontId="4" fillId="0" borderId="29" xfId="1540" applyBorder="1" applyAlignment="1" applyProtection="1">
      <alignment horizontal="left" vertical="center"/>
      <protection hidden="1"/>
    </xf>
    <xf numFmtId="0" fontId="5" fillId="0" borderId="60" xfId="0" applyFont="1" applyBorder="1" applyAlignment="1" applyProtection="1">
      <alignment vertical="center"/>
      <protection hidden="1"/>
    </xf>
    <xf numFmtId="0" fontId="5" fillId="0" borderId="36" xfId="0" applyFont="1" applyBorder="1" applyAlignment="1" applyProtection="1">
      <alignment vertical="center"/>
      <protection hidden="1"/>
    </xf>
    <xf numFmtId="0" fontId="5" fillId="0" borderId="36" xfId="1540" applyFont="1" applyBorder="1" applyAlignment="1" applyProtection="1">
      <alignment vertical="center"/>
      <protection hidden="1"/>
    </xf>
    <xf numFmtId="0" fontId="4" fillId="0" borderId="37" xfId="0" applyFont="1" applyBorder="1" applyAlignment="1">
      <alignment vertical="center"/>
    </xf>
    <xf numFmtId="1" fontId="4" fillId="0" borderId="33" xfId="0" applyNumberFormat="1" applyFont="1" applyBorder="1" applyAlignment="1" applyProtection="1">
      <alignment horizontal="center" vertical="center"/>
      <protection hidden="1"/>
    </xf>
    <xf numFmtId="1" fontId="4" fillId="0" borderId="81" xfId="0" applyNumberFormat="1" applyFont="1" applyBorder="1" applyAlignment="1" applyProtection="1">
      <alignment horizontal="center" vertical="center"/>
      <protection hidden="1"/>
    </xf>
    <xf numFmtId="1" fontId="4" fillId="0" borderId="82" xfId="0" applyNumberFormat="1" applyFont="1" applyBorder="1" applyAlignment="1" applyProtection="1">
      <alignment horizontal="center" vertical="center"/>
      <protection hidden="1"/>
    </xf>
    <xf numFmtId="1" fontId="4" fillId="0" borderId="84" xfId="0" applyNumberFormat="1" applyFont="1" applyBorder="1" applyAlignment="1" applyProtection="1">
      <alignment horizontal="center" vertical="center"/>
      <protection hidden="1"/>
    </xf>
    <xf numFmtId="165" fontId="4" fillId="0" borderId="85" xfId="0" applyNumberFormat="1" applyFont="1" applyBorder="1" applyAlignment="1" applyProtection="1">
      <alignment horizontal="center" vertical="center"/>
      <protection hidden="1"/>
    </xf>
    <xf numFmtId="1" fontId="4" fillId="0" borderId="21" xfId="0" applyNumberFormat="1" applyFont="1" applyBorder="1" applyAlignment="1" applyProtection="1">
      <alignment horizontal="center" vertical="center"/>
      <protection hidden="1"/>
    </xf>
    <xf numFmtId="1" fontId="4" fillId="0" borderId="86" xfId="0" applyNumberFormat="1" applyFont="1" applyBorder="1" applyAlignment="1" applyProtection="1">
      <alignment horizontal="center" vertical="center"/>
      <protection hidden="1"/>
    </xf>
    <xf numFmtId="165" fontId="4" fillId="0" borderId="87" xfId="0" quotePrefix="1" applyNumberFormat="1" applyFont="1" applyBorder="1" applyAlignment="1" applyProtection="1">
      <alignment horizontal="center" vertical="center"/>
      <protection hidden="1"/>
    </xf>
    <xf numFmtId="0" fontId="4" fillId="0" borderId="33" xfId="0" applyFont="1" applyBorder="1" applyAlignment="1" applyProtection="1">
      <alignment horizontal="center" vertical="center"/>
      <protection hidden="1"/>
    </xf>
    <xf numFmtId="165" fontId="4" fillId="0" borderId="14" xfId="0" applyNumberFormat="1" applyFont="1" applyBorder="1" applyAlignment="1" applyProtection="1">
      <alignment horizontal="center" vertical="center"/>
      <protection hidden="1"/>
    </xf>
    <xf numFmtId="165" fontId="4" fillId="0" borderId="28" xfId="0" applyNumberFormat="1" applyFont="1" applyBorder="1" applyAlignment="1" applyProtection="1">
      <alignment horizontal="center" vertical="center"/>
      <protection hidden="1"/>
    </xf>
    <xf numFmtId="1" fontId="4" fillId="0" borderId="20" xfId="0" applyNumberFormat="1" applyFont="1" applyBorder="1" applyAlignment="1" applyProtection="1">
      <alignment horizontal="center" vertical="center"/>
      <protection hidden="1"/>
    </xf>
    <xf numFmtId="2" fontId="0" fillId="0" borderId="0" xfId="0" applyNumberFormat="1" applyAlignment="1">
      <alignment vertical="center"/>
    </xf>
    <xf numFmtId="0" fontId="4" fillId="0" borderId="87" xfId="0" quotePrefix="1" applyFont="1" applyBorder="1" applyAlignment="1" applyProtection="1">
      <alignment horizontal="center" vertical="center"/>
      <protection hidden="1"/>
    </xf>
    <xf numFmtId="1" fontId="0" fillId="0" borderId="0" xfId="0" applyNumberFormat="1" applyAlignment="1">
      <alignment vertical="center"/>
    </xf>
    <xf numFmtId="16" fontId="0" fillId="0" borderId="0" xfId="0" applyNumberFormat="1" applyAlignment="1">
      <alignment vertical="center"/>
    </xf>
    <xf numFmtId="165" fontId="4" fillId="0" borderId="44" xfId="0" quotePrefix="1" applyNumberFormat="1" applyFont="1" applyBorder="1" applyAlignment="1" applyProtection="1">
      <alignment horizontal="center" vertical="center"/>
      <protection locked="0" hidden="1"/>
    </xf>
    <xf numFmtId="165" fontId="4" fillId="0" borderId="22" xfId="0" quotePrefix="1" applyNumberFormat="1" applyFont="1" applyBorder="1" applyAlignment="1" applyProtection="1">
      <alignment horizontal="center" vertical="center"/>
      <protection locked="0" hidden="1"/>
    </xf>
    <xf numFmtId="165" fontId="4" fillId="0" borderId="21" xfId="0" quotePrefix="1" applyNumberFormat="1" applyFont="1" applyBorder="1" applyAlignment="1" applyProtection="1">
      <alignment horizontal="center" vertical="center"/>
      <protection locked="0" hidden="1"/>
    </xf>
    <xf numFmtId="0" fontId="4" fillId="0" borderId="46" xfId="0" applyFont="1" applyBorder="1" applyAlignment="1" applyProtection="1">
      <alignment horizontal="center" vertical="top" textRotation="180"/>
      <protection locked="0" hidden="1"/>
    </xf>
    <xf numFmtId="0" fontId="5" fillId="0" borderId="27" xfId="0" applyFont="1" applyBorder="1" applyAlignment="1" applyProtection="1">
      <alignment horizontal="right" vertical="center"/>
      <protection locked="0" hidden="1"/>
    </xf>
    <xf numFmtId="1" fontId="5" fillId="0" borderId="19" xfId="0" applyNumberFormat="1" applyFont="1" applyBorder="1" applyAlignment="1" applyProtection="1">
      <alignment horizontal="right" vertical="center"/>
      <protection hidden="1"/>
    </xf>
    <xf numFmtId="165" fontId="5" fillId="0" borderId="27" xfId="0" applyNumberFormat="1" applyFont="1" applyBorder="1" applyAlignment="1">
      <alignment vertical="center"/>
    </xf>
    <xf numFmtId="0" fontId="7" fillId="0" borderId="27" xfId="0" applyFont="1" applyBorder="1" applyAlignment="1" applyProtection="1">
      <alignment vertical="center"/>
      <protection locked="0" hidden="1"/>
    </xf>
    <xf numFmtId="0" fontId="5" fillId="0" borderId="27" xfId="0" applyFont="1" applyBorder="1" applyAlignment="1">
      <alignment vertical="center"/>
    </xf>
    <xf numFmtId="0" fontId="0" fillId="0" borderId="55" xfId="0" applyBorder="1"/>
    <xf numFmtId="0" fontId="0" fillId="0" borderId="55" xfId="0" applyBorder="1" applyAlignment="1">
      <alignment horizontal="center"/>
    </xf>
    <xf numFmtId="0" fontId="5" fillId="0" borderId="55" xfId="0" applyFont="1" applyBorder="1" applyAlignment="1">
      <alignment horizontal="center"/>
    </xf>
    <xf numFmtId="0" fontId="4" fillId="0" borderId="55" xfId="0" applyFont="1" applyBorder="1" applyAlignment="1">
      <alignment horizontal="center"/>
    </xf>
    <xf numFmtId="0" fontId="4" fillId="0" borderId="46" xfId="0" applyFont="1" applyBorder="1" applyProtection="1">
      <protection locked="0" hidden="1"/>
    </xf>
    <xf numFmtId="0" fontId="4" fillId="0" borderId="19" xfId="0" applyFont="1" applyBorder="1" applyAlignment="1" applyProtection="1">
      <alignment horizontal="center" vertical="top" textRotation="180"/>
      <protection locked="0" hidden="1"/>
    </xf>
    <xf numFmtId="0" fontId="2" fillId="0" borderId="0" xfId="0" applyFont="1" applyAlignment="1" applyProtection="1">
      <alignment horizontal="center"/>
      <protection hidden="1"/>
    </xf>
    <xf numFmtId="0" fontId="4" fillId="0" borderId="91" xfId="0" applyFont="1" applyBorder="1" applyAlignment="1">
      <alignment vertical="center"/>
    </xf>
    <xf numFmtId="0" fontId="4" fillId="0" borderId="92" xfId="0" applyFont="1" applyBorder="1" applyAlignment="1">
      <alignment vertical="center"/>
    </xf>
    <xf numFmtId="1" fontId="5" fillId="0" borderId="36" xfId="0" applyNumberFormat="1" applyFont="1" applyBorder="1" applyAlignment="1" applyProtection="1">
      <alignment vertical="center"/>
      <protection hidden="1"/>
    </xf>
    <xf numFmtId="1" fontId="4" fillId="0" borderId="22" xfId="0" applyNumberFormat="1" applyFont="1" applyBorder="1" applyAlignment="1" applyProtection="1">
      <alignment horizontal="center" vertical="center"/>
      <protection locked="0" hidden="1"/>
    </xf>
    <xf numFmtId="1" fontId="4" fillId="0" borderId="22" xfId="0" quotePrefix="1" applyNumberFormat="1" applyFont="1" applyBorder="1" applyAlignment="1" applyProtection="1">
      <alignment horizontal="center" vertical="center"/>
      <protection locked="0" hidden="1"/>
    </xf>
    <xf numFmtId="1" fontId="4" fillId="0" borderId="19" xfId="0" applyNumberFormat="1" applyFont="1" applyBorder="1" applyAlignment="1" applyProtection="1">
      <alignment horizontal="center" vertical="center"/>
      <protection locked="0" hidden="1"/>
    </xf>
    <xf numFmtId="165" fontId="4" fillId="0" borderId="22" xfId="0" applyNumberFormat="1" applyFont="1" applyBorder="1" applyAlignment="1" applyProtection="1">
      <alignment horizontal="center" vertical="center"/>
      <protection locked="0" hidden="1"/>
    </xf>
    <xf numFmtId="0" fontId="0" fillId="0" borderId="0" xfId="0" applyAlignment="1">
      <alignment horizontal="right" vertical="center"/>
    </xf>
    <xf numFmtId="0" fontId="0" fillId="0" borderId="28" xfId="0" applyBorder="1" applyAlignment="1">
      <alignment horizontal="right" vertical="center"/>
    </xf>
    <xf numFmtId="0" fontId="4" fillId="0" borderId="21" xfId="0" applyFont="1" applyBorder="1" applyAlignment="1">
      <alignment vertical="center"/>
    </xf>
    <xf numFmtId="165" fontId="4" fillId="0" borderId="21" xfId="0" applyNumberFormat="1" applyFont="1" applyBorder="1" applyAlignment="1" applyProtection="1">
      <alignment horizontal="center" vertical="center"/>
      <protection locked="0" hidden="1"/>
    </xf>
    <xf numFmtId="0" fontId="2" fillId="0" borderId="22" xfId="0" applyFont="1" applyBorder="1" applyAlignment="1" applyProtection="1">
      <alignment vertical="center"/>
      <protection locked="0" hidden="1"/>
    </xf>
    <xf numFmtId="0" fontId="2" fillId="0" borderId="21" xfId="0" applyFont="1" applyBorder="1" applyAlignment="1" applyProtection="1">
      <alignment vertical="center"/>
      <protection locked="0" hidden="1"/>
    </xf>
    <xf numFmtId="0" fontId="4" fillId="0" borderId="22" xfId="0" applyFont="1" applyBorder="1" applyAlignment="1">
      <alignment vertical="center"/>
    </xf>
    <xf numFmtId="0" fontId="4" fillId="0" borderId="93" xfId="0" applyFont="1" applyBorder="1" applyAlignment="1">
      <alignment vertical="center"/>
    </xf>
    <xf numFmtId="1" fontId="4" fillId="0" borderId="20" xfId="0" applyNumberFormat="1" applyFont="1" applyBorder="1" applyAlignment="1" applyProtection="1">
      <alignment horizontal="center" vertical="center"/>
      <protection locked="0" hidden="1"/>
    </xf>
    <xf numFmtId="1" fontId="4" fillId="0" borderId="59" xfId="0" applyNumberFormat="1" applyFont="1" applyBorder="1" applyAlignment="1" applyProtection="1">
      <alignment horizontal="center" vertical="center"/>
      <protection locked="0" hidden="1"/>
    </xf>
    <xf numFmtId="165" fontId="4" fillId="0" borderId="19" xfId="0" applyNumberFormat="1" applyFont="1" applyBorder="1" applyAlignment="1" applyProtection="1">
      <alignment horizontal="center" vertical="center"/>
      <protection locked="0" hidden="1"/>
    </xf>
    <xf numFmtId="0" fontId="12" fillId="0" borderId="28" xfId="0" applyFont="1" applyBorder="1" applyAlignment="1">
      <alignment vertical="center"/>
    </xf>
    <xf numFmtId="0" fontId="12" fillId="0" borderId="29" xfId="0" applyFont="1" applyBorder="1" applyAlignment="1">
      <alignment vertical="center"/>
    </xf>
    <xf numFmtId="0" fontId="0" fillId="0" borderId="66" xfId="0" applyBorder="1" applyAlignment="1">
      <alignment vertical="center"/>
    </xf>
    <xf numFmtId="165" fontId="0" fillId="0" borderId="0" xfId="0" applyNumberFormat="1" applyAlignment="1">
      <alignment vertical="center"/>
    </xf>
    <xf numFmtId="166" fontId="0" fillId="0" borderId="0" xfId="0" applyNumberFormat="1" applyAlignment="1">
      <alignment horizontal="right" vertical="center"/>
    </xf>
    <xf numFmtId="0" fontId="5" fillId="0" borderId="34" xfId="0" applyFont="1" applyBorder="1" applyAlignment="1">
      <alignment horizontal="center" vertical="center"/>
    </xf>
    <xf numFmtId="1" fontId="4" fillId="0" borderId="49" xfId="0" applyNumberFormat="1" applyFont="1" applyBorder="1" applyAlignment="1">
      <alignment horizontal="center" vertical="center"/>
    </xf>
    <xf numFmtId="1" fontId="4" fillId="0" borderId="13" xfId="0" applyNumberFormat="1" applyFont="1" applyBorder="1" applyAlignment="1">
      <alignment horizontal="center" vertical="center"/>
    </xf>
    <xf numFmtId="1" fontId="4" fillId="0" borderId="57" xfId="0" applyNumberFormat="1" applyFont="1" applyBorder="1" applyAlignment="1">
      <alignment horizontal="center" vertical="center"/>
    </xf>
    <xf numFmtId="165" fontId="4" fillId="0" borderId="37" xfId="0" applyNumberFormat="1" applyFont="1" applyBorder="1" applyAlignment="1">
      <alignment horizontal="center" vertical="center"/>
    </xf>
    <xf numFmtId="165" fontId="4" fillId="0" borderId="14" xfId="0" applyNumberFormat="1" applyFont="1" applyBorder="1" applyAlignment="1">
      <alignment horizontal="center" vertical="center"/>
    </xf>
    <xf numFmtId="165" fontId="4" fillId="0" borderId="84" xfId="0" applyNumberFormat="1" applyFont="1" applyBorder="1" applyAlignment="1">
      <alignment horizontal="center" vertical="center"/>
    </xf>
    <xf numFmtId="165" fontId="4" fillId="0" borderId="56" xfId="0" applyNumberFormat="1" applyFont="1" applyBorder="1" applyAlignment="1">
      <alignment horizontal="center" vertical="center"/>
    </xf>
    <xf numFmtId="1" fontId="4" fillId="0" borderId="59" xfId="0" applyNumberFormat="1" applyFont="1" applyBorder="1" applyAlignment="1" applyProtection="1">
      <alignment horizontal="center" vertical="center"/>
      <protection hidden="1"/>
    </xf>
    <xf numFmtId="0" fontId="5" fillId="0" borderId="60" xfId="0" applyFont="1" applyBorder="1" applyAlignment="1">
      <alignment vertical="center"/>
    </xf>
    <xf numFmtId="1" fontId="4" fillId="0" borderId="44" xfId="0" applyNumberFormat="1" applyFont="1" applyBorder="1" applyAlignment="1">
      <alignment horizontal="center" vertical="center"/>
    </xf>
    <xf numFmtId="1" fontId="4" fillId="0" borderId="56" xfId="0" applyNumberFormat="1" applyFont="1" applyBorder="1" applyAlignment="1">
      <alignment horizontal="center" vertical="center"/>
    </xf>
    <xf numFmtId="1" fontId="4" fillId="0" borderId="37" xfId="0" applyNumberFormat="1" applyFont="1" applyBorder="1" applyAlignment="1">
      <alignment horizontal="center" vertical="center"/>
    </xf>
    <xf numFmtId="1" fontId="4" fillId="0" borderId="71" xfId="0" applyNumberFormat="1" applyFont="1" applyBorder="1" applyAlignment="1">
      <alignment horizontal="center" vertical="center"/>
    </xf>
    <xf numFmtId="165" fontId="4" fillId="0" borderId="21" xfId="0" applyNumberFormat="1" applyFont="1" applyBorder="1" applyAlignment="1">
      <alignment horizontal="center" vertical="center"/>
    </xf>
    <xf numFmtId="1" fontId="4" fillId="0" borderId="21" xfId="0" quotePrefix="1" applyNumberFormat="1" applyFont="1" applyBorder="1" applyAlignment="1">
      <alignment horizontal="center" vertical="center"/>
    </xf>
    <xf numFmtId="1" fontId="5" fillId="0" borderId="36" xfId="0" applyNumberFormat="1" applyFont="1" applyBorder="1" applyAlignment="1">
      <alignment vertical="center"/>
    </xf>
    <xf numFmtId="1" fontId="4" fillId="0" borderId="33" xfId="0" applyNumberFormat="1" applyFont="1" applyBorder="1" applyAlignment="1">
      <alignment horizontal="center" vertical="center"/>
    </xf>
    <xf numFmtId="165" fontId="4" fillId="0" borderId="44" xfId="0" applyNumberFormat="1" applyFont="1" applyBorder="1" applyAlignment="1">
      <alignment horizontal="center" vertical="center"/>
    </xf>
    <xf numFmtId="165" fontId="0" fillId="0" borderId="0" xfId="0" applyNumberFormat="1" applyAlignment="1">
      <alignment horizontal="center" vertical="center"/>
    </xf>
    <xf numFmtId="165" fontId="28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/>
    </xf>
    <xf numFmtId="1" fontId="4" fillId="0" borderId="100" xfId="0" applyNumberFormat="1" applyFont="1" applyBorder="1" applyAlignment="1">
      <alignment horizontal="center" vertical="center"/>
    </xf>
    <xf numFmtId="165" fontId="4" fillId="0" borderId="59" xfId="0" applyNumberFormat="1" applyFont="1" applyBorder="1" applyAlignment="1">
      <alignment horizontal="center" vertical="center"/>
    </xf>
    <xf numFmtId="165" fontId="5" fillId="0" borderId="36" xfId="0" applyNumberFormat="1" applyFont="1" applyBorder="1" applyAlignment="1">
      <alignment vertical="center"/>
    </xf>
    <xf numFmtId="165" fontId="4" fillId="0" borderId="100" xfId="0" applyNumberFormat="1" applyFont="1" applyBorder="1" applyAlignment="1">
      <alignment horizontal="center" vertical="center"/>
    </xf>
    <xf numFmtId="165" fontId="4" fillId="0" borderId="78" xfId="0" applyNumberFormat="1" applyFont="1" applyBorder="1" applyAlignment="1">
      <alignment horizontal="center" vertical="center"/>
    </xf>
    <xf numFmtId="165" fontId="4" fillId="0" borderId="101" xfId="0" applyNumberFormat="1" applyFont="1" applyBorder="1" applyAlignment="1">
      <alignment horizontal="center" vertical="center"/>
    </xf>
    <xf numFmtId="0" fontId="4" fillId="0" borderId="49" xfId="0" applyFont="1" applyBorder="1" applyAlignment="1">
      <alignment vertical="center"/>
    </xf>
    <xf numFmtId="165" fontId="4" fillId="0" borderId="49" xfId="0" quotePrefix="1" applyNumberFormat="1" applyFont="1" applyBorder="1" applyAlignment="1">
      <alignment horizontal="center" vertical="center"/>
    </xf>
    <xf numFmtId="165" fontId="4" fillId="0" borderId="13" xfId="0" applyNumberFormat="1" applyFont="1" applyBorder="1" applyAlignment="1">
      <alignment horizontal="center" vertical="center"/>
    </xf>
    <xf numFmtId="0" fontId="4" fillId="0" borderId="44" xfId="0" applyFont="1" applyBorder="1" applyAlignment="1">
      <alignment vertical="center"/>
    </xf>
    <xf numFmtId="165" fontId="4" fillId="0" borderId="44" xfId="0" quotePrefix="1" applyNumberFormat="1" applyFont="1" applyBorder="1" applyAlignment="1">
      <alignment horizontal="center" vertical="center"/>
    </xf>
    <xf numFmtId="165" fontId="4" fillId="0" borderId="14" xfId="0" quotePrefix="1" applyNumberFormat="1" applyFont="1" applyBorder="1" applyAlignment="1">
      <alignment horizontal="center" vertical="center"/>
    </xf>
    <xf numFmtId="165" fontId="4" fillId="0" borderId="100" xfId="0" quotePrefix="1" applyNumberFormat="1" applyFont="1" applyBorder="1" applyAlignment="1">
      <alignment horizontal="center" vertical="center"/>
    </xf>
    <xf numFmtId="165" fontId="4" fillId="0" borderId="102" xfId="0" applyNumberFormat="1" applyFont="1" applyBorder="1" applyAlignment="1">
      <alignment horizontal="center" vertical="center"/>
    </xf>
    <xf numFmtId="1" fontId="4" fillId="0" borderId="19" xfId="0" quotePrefix="1" applyNumberFormat="1" applyFont="1" applyBorder="1" applyAlignment="1">
      <alignment horizontal="center" vertical="center"/>
    </xf>
    <xf numFmtId="0" fontId="5" fillId="0" borderId="37" xfId="0" applyFont="1" applyBorder="1" applyAlignment="1">
      <alignment vertical="center"/>
    </xf>
    <xf numFmtId="0" fontId="4" fillId="0" borderId="13" xfId="0" quotePrefix="1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56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88" xfId="0" quotePrefix="1" applyFont="1" applyBorder="1" applyAlignment="1">
      <alignment horizontal="center" vertical="center"/>
    </xf>
    <xf numFmtId="0" fontId="4" fillId="0" borderId="84" xfId="0" applyFont="1" applyBorder="1" applyAlignment="1">
      <alignment horizontal="center" vertical="center"/>
    </xf>
    <xf numFmtId="0" fontId="4" fillId="0" borderId="103" xfId="0" applyFont="1" applyBorder="1" applyAlignment="1">
      <alignment vertical="center"/>
    </xf>
    <xf numFmtId="0" fontId="4" fillId="0" borderId="95" xfId="0" applyFont="1" applyBorder="1" applyAlignment="1">
      <alignment horizontal="center" vertical="center"/>
    </xf>
    <xf numFmtId="0" fontId="4" fillId="0" borderId="94" xfId="0" applyFont="1" applyBorder="1" applyAlignment="1">
      <alignment horizontal="center" vertical="center"/>
    </xf>
    <xf numFmtId="1" fontId="5" fillId="0" borderId="36" xfId="0" applyNumberFormat="1" applyFont="1" applyBorder="1" applyAlignment="1" applyProtection="1">
      <alignment horizontal="right" vertical="center"/>
      <protection hidden="1"/>
    </xf>
    <xf numFmtId="1" fontId="4" fillId="0" borderId="59" xfId="0" applyNumberFormat="1" applyFont="1" applyBorder="1" applyAlignment="1">
      <alignment horizontal="center" vertical="center"/>
    </xf>
    <xf numFmtId="165" fontId="4" fillId="0" borderId="101" xfId="0" quotePrefix="1" applyNumberFormat="1" applyFont="1" applyBorder="1" applyAlignment="1">
      <alignment horizontal="center" vertical="center"/>
    </xf>
    <xf numFmtId="16" fontId="0" fillId="0" borderId="0" xfId="0" applyNumberFormat="1" applyAlignment="1">
      <alignment horizontal="right" vertical="center"/>
    </xf>
    <xf numFmtId="2" fontId="31" fillId="0" borderId="0" xfId="0" applyNumberFormat="1" applyFont="1" applyAlignment="1">
      <alignment horizontal="center"/>
    </xf>
    <xf numFmtId="1" fontId="2" fillId="0" borderId="0" xfId="0" applyNumberFormat="1" applyFont="1"/>
    <xf numFmtId="0" fontId="5" fillId="0" borderId="31" xfId="0" applyFont="1" applyBorder="1" applyAlignment="1">
      <alignment vertical="center"/>
    </xf>
    <xf numFmtId="1" fontId="5" fillId="0" borderId="0" xfId="0" applyNumberFormat="1" applyFont="1" applyAlignment="1">
      <alignment vertical="center"/>
    </xf>
    <xf numFmtId="1" fontId="5" fillId="0" borderId="6" xfId="0" applyNumberFormat="1" applyFont="1" applyBorder="1" applyAlignment="1">
      <alignment vertical="center"/>
    </xf>
    <xf numFmtId="0" fontId="5" fillId="0" borderId="6" xfId="0" applyFont="1" applyBorder="1" applyAlignment="1">
      <alignment vertical="center"/>
    </xf>
    <xf numFmtId="1" fontId="4" fillId="0" borderId="78" xfId="0" applyNumberFormat="1" applyFont="1" applyBorder="1" applyAlignment="1" applyProtection="1">
      <alignment horizontal="center" vertical="center"/>
      <protection hidden="1"/>
    </xf>
    <xf numFmtId="1" fontId="4" fillId="0" borderId="88" xfId="0" applyNumberFormat="1" applyFont="1" applyBorder="1" applyAlignment="1">
      <alignment horizontal="center" vertical="center"/>
    </xf>
    <xf numFmtId="1" fontId="4" fillId="0" borderId="14" xfId="0" applyNumberFormat="1" applyFont="1" applyBorder="1" applyAlignment="1">
      <alignment horizontal="center" vertical="center"/>
    </xf>
    <xf numFmtId="1" fontId="4" fillId="0" borderId="84" xfId="0" applyNumberFormat="1" applyFont="1" applyBorder="1" applyAlignment="1">
      <alignment horizontal="center" vertical="center"/>
    </xf>
    <xf numFmtId="1" fontId="4" fillId="0" borderId="86" xfId="0" applyNumberFormat="1" applyFont="1" applyBorder="1" applyAlignment="1">
      <alignment horizontal="center" vertical="center"/>
    </xf>
    <xf numFmtId="1" fontId="4" fillId="0" borderId="6" xfId="0" applyNumberFormat="1" applyFont="1" applyBorder="1" applyAlignment="1">
      <alignment horizontal="center" vertical="center"/>
    </xf>
    <xf numFmtId="1" fontId="4" fillId="0" borderId="18" xfId="0" applyNumberFormat="1" applyFont="1" applyBorder="1" applyAlignment="1">
      <alignment horizontal="center" vertical="center"/>
    </xf>
    <xf numFmtId="1" fontId="4" fillId="0" borderId="78" xfId="0" applyNumberFormat="1" applyFont="1" applyBorder="1" applyAlignment="1">
      <alignment horizontal="center" vertical="center"/>
    </xf>
    <xf numFmtId="1" fontId="4" fillId="0" borderId="101" xfId="0" applyNumberFormat="1" applyFont="1" applyBorder="1" applyAlignment="1">
      <alignment horizontal="center" vertical="center"/>
    </xf>
    <xf numFmtId="1" fontId="4" fillId="0" borderId="14" xfId="0" quotePrefix="1" applyNumberFormat="1" applyFont="1" applyBorder="1" applyAlignment="1">
      <alignment horizontal="center" vertical="center"/>
    </xf>
    <xf numFmtId="1" fontId="4" fillId="0" borderId="84" xfId="0" quotePrefix="1" applyNumberFormat="1" applyFont="1" applyBorder="1" applyAlignment="1">
      <alignment horizontal="center" vertical="center"/>
    </xf>
    <xf numFmtId="165" fontId="4" fillId="0" borderId="118" xfId="0" applyNumberFormat="1" applyFont="1" applyBorder="1" applyAlignment="1">
      <alignment horizontal="center" vertical="center"/>
    </xf>
    <xf numFmtId="165" fontId="4" fillId="0" borderId="88" xfId="0" applyNumberFormat="1" applyFont="1" applyBorder="1" applyAlignment="1">
      <alignment horizontal="center" vertical="center"/>
    </xf>
    <xf numFmtId="165" fontId="4" fillId="0" borderId="90" xfId="0" quotePrefix="1" applyNumberFormat="1" applyFont="1" applyBorder="1" applyAlignment="1">
      <alignment horizontal="center" vertical="center"/>
    </xf>
    <xf numFmtId="165" fontId="4" fillId="0" borderId="6" xfId="0" applyNumberFormat="1" applyFont="1" applyBorder="1" applyAlignment="1">
      <alignment horizontal="center" vertical="center"/>
    </xf>
    <xf numFmtId="165" fontId="4" fillId="0" borderId="71" xfId="0" applyNumberFormat="1" applyFont="1" applyBorder="1" applyAlignment="1">
      <alignment horizontal="center" vertical="center"/>
    </xf>
    <xf numFmtId="0" fontId="5" fillId="0" borderId="0" xfId="1540" applyFont="1" applyAlignment="1" applyProtection="1">
      <alignment horizontal="right"/>
      <protection hidden="1"/>
    </xf>
    <xf numFmtId="165" fontId="12" fillId="0" borderId="0" xfId="0" applyNumberFormat="1" applyFont="1" applyAlignment="1">
      <alignment vertical="center"/>
    </xf>
    <xf numFmtId="16" fontId="44" fillId="0" borderId="0" xfId="1585" applyNumberFormat="1" applyFont="1" applyAlignment="1">
      <alignment horizontal="center"/>
    </xf>
    <xf numFmtId="0" fontId="44" fillId="0" borderId="0" xfId="0" applyFont="1"/>
    <xf numFmtId="0" fontId="44" fillId="0" borderId="0" xfId="0" applyFont="1" applyAlignment="1">
      <alignment vertical="center"/>
    </xf>
    <xf numFmtId="165" fontId="44" fillId="0" borderId="0" xfId="0" applyNumberFormat="1" applyFont="1" applyAlignment="1">
      <alignment vertical="center"/>
    </xf>
    <xf numFmtId="167" fontId="44" fillId="0" borderId="0" xfId="0" applyNumberFormat="1" applyFont="1" applyAlignment="1">
      <alignment vertical="center"/>
    </xf>
    <xf numFmtId="166" fontId="44" fillId="0" borderId="0" xfId="0" applyNumberFormat="1" applyFont="1" applyAlignment="1">
      <alignment vertical="center"/>
    </xf>
    <xf numFmtId="165" fontId="44" fillId="0" borderId="0" xfId="0" applyNumberFormat="1" applyFont="1" applyAlignment="1">
      <alignment horizontal="center" vertical="center"/>
    </xf>
    <xf numFmtId="165" fontId="44" fillId="0" borderId="0" xfId="0" applyNumberFormat="1" applyFont="1"/>
    <xf numFmtId="16" fontId="4" fillId="0" borderId="0" xfId="1585" applyNumberFormat="1" applyAlignment="1">
      <alignment horizontal="center"/>
    </xf>
    <xf numFmtId="165" fontId="44" fillId="0" borderId="0" xfId="0" applyNumberFormat="1" applyFont="1" applyAlignment="1">
      <alignment horizontal="center"/>
    </xf>
    <xf numFmtId="165" fontId="0" fillId="0" borderId="0" xfId="0" applyNumberFormat="1" applyAlignment="1">
      <alignment horizontal="center"/>
    </xf>
    <xf numFmtId="0" fontId="8" fillId="0" borderId="0" xfId="0" applyFont="1" applyAlignment="1" applyProtection="1">
      <alignment horizontal="center"/>
      <protection hidden="1"/>
    </xf>
    <xf numFmtId="0" fontId="0" fillId="0" borderId="28" xfId="0" applyBorder="1"/>
    <xf numFmtId="0" fontId="0" fillId="0" borderId="29" xfId="0" applyBorder="1"/>
    <xf numFmtId="0" fontId="0" fillId="0" borderId="0" xfId="0" applyAlignment="1">
      <alignment horizontal="left" vertical="center"/>
    </xf>
    <xf numFmtId="0" fontId="4" fillId="0" borderId="37" xfId="1540" applyBorder="1"/>
    <xf numFmtId="0" fontId="4" fillId="0" borderId="6" xfId="1540" applyBorder="1" applyAlignment="1" applyProtection="1">
      <alignment horizontal="center"/>
      <protection hidden="1"/>
    </xf>
    <xf numFmtId="0" fontId="11" fillId="0" borderId="11" xfId="0" applyFont="1" applyBorder="1" applyProtection="1">
      <protection hidden="1"/>
    </xf>
    <xf numFmtId="0" fontId="4" fillId="0" borderId="37" xfId="1540" applyBorder="1" applyAlignment="1">
      <alignment vertical="center"/>
    </xf>
    <xf numFmtId="1" fontId="4" fillId="0" borderId="31" xfId="0" applyNumberFormat="1" applyFont="1" applyBorder="1" applyAlignment="1" applyProtection="1">
      <alignment horizontal="center" vertical="center"/>
      <protection hidden="1"/>
    </xf>
    <xf numFmtId="0" fontId="2" fillId="0" borderId="17" xfId="0" applyFont="1" applyBorder="1" applyAlignment="1">
      <alignment horizontal="center" vertical="center" wrapText="1"/>
    </xf>
    <xf numFmtId="0" fontId="2" fillId="0" borderId="17" xfId="0" quotePrefix="1" applyFont="1" applyBorder="1" applyAlignment="1">
      <alignment horizontal="center" vertical="center"/>
    </xf>
    <xf numFmtId="1" fontId="2" fillId="0" borderId="45" xfId="0" applyNumberFormat="1" applyFont="1" applyBorder="1"/>
    <xf numFmtId="1" fontId="2" fillId="0" borderId="44" xfId="0" applyNumberFormat="1" applyFont="1" applyBorder="1"/>
    <xf numFmtId="1" fontId="2" fillId="0" borderId="37" xfId="0" applyNumberFormat="1" applyFont="1" applyBorder="1"/>
    <xf numFmtId="1" fontId="2" fillId="0" borderId="14" xfId="0" applyNumberFormat="1" applyFont="1" applyBorder="1" applyAlignment="1">
      <alignment horizontal="center" vertical="center"/>
    </xf>
    <xf numFmtId="1" fontId="2" fillId="0" borderId="49" xfId="0" applyNumberFormat="1" applyFont="1" applyBorder="1" applyAlignment="1">
      <alignment vertical="center"/>
    </xf>
    <xf numFmtId="1" fontId="2" fillId="0" borderId="44" xfId="0" applyNumberFormat="1" applyFont="1" applyBorder="1" applyAlignment="1">
      <alignment vertical="center"/>
    </xf>
    <xf numFmtId="1" fontId="2" fillId="0" borderId="37" xfId="0" applyNumberFormat="1" applyFont="1" applyBorder="1" applyAlignment="1">
      <alignment vertical="center"/>
    </xf>
    <xf numFmtId="1" fontId="2" fillId="0" borderId="37" xfId="0" applyNumberFormat="1" applyFont="1" applyBorder="1" applyAlignment="1" applyProtection="1">
      <alignment vertical="center"/>
      <protection hidden="1"/>
    </xf>
    <xf numFmtId="1" fontId="2" fillId="0" borderId="100" xfId="0" applyNumberFormat="1" applyFont="1" applyBorder="1" applyAlignment="1">
      <alignment vertical="center"/>
    </xf>
    <xf numFmtId="1" fontId="2" fillId="0" borderId="22" xfId="0" applyNumberFormat="1" applyFont="1" applyBorder="1" applyAlignment="1" applyProtection="1">
      <alignment vertical="center"/>
      <protection locked="0" hidden="1"/>
    </xf>
    <xf numFmtId="1" fontId="2" fillId="0" borderId="22" xfId="0" applyNumberFormat="1" applyFont="1" applyBorder="1" applyAlignment="1">
      <alignment vertical="center"/>
    </xf>
    <xf numFmtId="1" fontId="2" fillId="0" borderId="44" xfId="0" applyNumberFormat="1" applyFont="1" applyBorder="1" applyAlignment="1" applyProtection="1">
      <alignment vertical="center"/>
      <protection hidden="1"/>
    </xf>
    <xf numFmtId="0" fontId="2" fillId="0" borderId="45" xfId="1540" applyFont="1" applyBorder="1" applyAlignment="1" applyProtection="1">
      <alignment vertical="center"/>
      <protection hidden="1"/>
    </xf>
    <xf numFmtId="1" fontId="2" fillId="0" borderId="45" xfId="0" applyNumberFormat="1" applyFont="1" applyBorder="1" applyAlignment="1" applyProtection="1">
      <alignment vertical="center"/>
      <protection hidden="1"/>
    </xf>
    <xf numFmtId="1" fontId="2" fillId="0" borderId="20" xfId="0" applyNumberFormat="1" applyFont="1" applyBorder="1" applyAlignment="1" applyProtection="1">
      <alignment vertical="center"/>
      <protection hidden="1"/>
    </xf>
    <xf numFmtId="1" fontId="2" fillId="0" borderId="20" xfId="0" applyNumberFormat="1" applyFont="1" applyBorder="1" applyAlignment="1" applyProtection="1">
      <alignment vertical="center"/>
      <protection locked="0" hidden="1"/>
    </xf>
    <xf numFmtId="1" fontId="2" fillId="0" borderId="59" xfId="0" applyNumberFormat="1" applyFont="1" applyBorder="1" applyAlignment="1">
      <alignment vertical="center"/>
    </xf>
    <xf numFmtId="1" fontId="2" fillId="0" borderId="22" xfId="0" quotePrefix="1" applyNumberFormat="1" applyFont="1" applyBorder="1" applyAlignment="1" applyProtection="1">
      <alignment horizontal="center" vertical="center"/>
      <protection locked="0" hidden="1"/>
    </xf>
    <xf numFmtId="1" fontId="2" fillId="0" borderId="21" xfId="0" applyNumberFormat="1" applyFont="1" applyBorder="1" applyAlignment="1" applyProtection="1">
      <alignment vertical="center" wrapText="1"/>
      <protection hidden="1"/>
    </xf>
    <xf numFmtId="1" fontId="2" fillId="0" borderId="63" xfId="1540" applyNumberFormat="1" applyFont="1" applyBorder="1" applyAlignment="1" applyProtection="1">
      <alignment vertical="center"/>
      <protection hidden="1"/>
    </xf>
    <xf numFmtId="0" fontId="2" fillId="0" borderId="63" xfId="1540" applyFont="1" applyBorder="1" applyAlignment="1" applyProtection="1">
      <alignment vertical="center"/>
      <protection hidden="1"/>
    </xf>
    <xf numFmtId="0" fontId="2" fillId="0" borderId="9" xfId="0" applyFont="1" applyBorder="1" applyAlignment="1" applyProtection="1">
      <alignment horizontal="center" textRotation="90"/>
      <protection hidden="1"/>
    </xf>
    <xf numFmtId="0" fontId="2" fillId="0" borderId="32" xfId="0" applyFont="1" applyBorder="1" applyAlignment="1" applyProtection="1">
      <alignment horizontal="center" vertical="center"/>
      <protection hidden="1"/>
    </xf>
    <xf numFmtId="165" fontId="2" fillId="0" borderId="14" xfId="0" quotePrefix="1" applyNumberFormat="1" applyFont="1" applyBorder="1" applyAlignment="1">
      <alignment horizontal="center" vertical="center"/>
    </xf>
    <xf numFmtId="1" fontId="2" fillId="0" borderId="37" xfId="0" applyNumberFormat="1" applyFont="1" applyBorder="1" applyAlignment="1" applyProtection="1">
      <alignment vertical="center" wrapText="1"/>
      <protection hidden="1"/>
    </xf>
    <xf numFmtId="1" fontId="2" fillId="0" borderId="45" xfId="0" applyNumberFormat="1" applyFont="1" applyBorder="1" applyAlignment="1">
      <alignment vertical="center"/>
    </xf>
    <xf numFmtId="165" fontId="2" fillId="0" borderId="37" xfId="0" applyNumberFormat="1" applyFont="1" applyBorder="1" applyAlignment="1">
      <alignment vertical="center"/>
    </xf>
    <xf numFmtId="0" fontId="2" fillId="0" borderId="35" xfId="0" quotePrefix="1" applyFont="1" applyBorder="1" applyAlignment="1">
      <alignment horizontal="center" vertical="center"/>
    </xf>
    <xf numFmtId="165" fontId="2" fillId="0" borderId="56" xfId="0" quotePrefix="1" applyNumberFormat="1" applyFont="1" applyBorder="1" applyAlignment="1">
      <alignment horizontal="center" vertical="center"/>
    </xf>
    <xf numFmtId="165" fontId="2" fillId="0" borderId="78" xfId="0" quotePrefix="1" applyNumberFormat="1" applyFont="1" applyBorder="1" applyAlignment="1">
      <alignment horizontal="center" vertical="center"/>
    </xf>
    <xf numFmtId="165" fontId="2" fillId="0" borderId="28" xfId="0" quotePrefix="1" applyNumberFormat="1" applyFont="1" applyBorder="1" applyAlignment="1">
      <alignment horizontal="center" vertical="center"/>
    </xf>
    <xf numFmtId="165" fontId="2" fillId="0" borderId="66" xfId="0" quotePrefix="1" applyNumberFormat="1" applyFont="1" applyBorder="1" applyAlignment="1">
      <alignment horizontal="center" vertical="center"/>
    </xf>
    <xf numFmtId="165" fontId="2" fillId="0" borderId="84" xfId="0" quotePrefix="1" applyNumberFormat="1" applyFont="1" applyBorder="1" applyAlignment="1">
      <alignment horizontal="center" vertical="center"/>
    </xf>
    <xf numFmtId="165" fontId="2" fillId="0" borderId="78" xfId="0" applyNumberFormat="1" applyFont="1" applyBorder="1" applyAlignment="1">
      <alignment horizontal="center" vertical="center"/>
    </xf>
    <xf numFmtId="0" fontId="2" fillId="0" borderId="10" xfId="0" applyFont="1" applyBorder="1" applyAlignment="1">
      <alignment horizontal="center" textRotation="90" wrapText="1"/>
    </xf>
    <xf numFmtId="0" fontId="2" fillId="0" borderId="11" xfId="0" applyFont="1" applyBorder="1"/>
    <xf numFmtId="0" fontId="2" fillId="0" borderId="9" xfId="0" applyFont="1" applyBorder="1" applyAlignment="1">
      <alignment horizontal="center" textRotation="90"/>
    </xf>
    <xf numFmtId="0" fontId="2" fillId="0" borderId="8" xfId="0" applyFont="1" applyBorder="1" applyAlignment="1">
      <alignment horizontal="center" textRotation="90"/>
    </xf>
    <xf numFmtId="0" fontId="2" fillId="0" borderId="8" xfId="0" applyFont="1" applyBorder="1" applyAlignment="1">
      <alignment horizontal="center" textRotation="90" wrapText="1"/>
    </xf>
    <xf numFmtId="0" fontId="2" fillId="0" borderId="0" xfId="0" applyFont="1" applyAlignment="1">
      <alignment horizontal="center"/>
    </xf>
    <xf numFmtId="164" fontId="2" fillId="0" borderId="17" xfId="0" applyNumberFormat="1" applyFont="1" applyBorder="1" applyAlignment="1" applyProtection="1">
      <alignment horizontal="center" vertical="center"/>
      <protection hidden="1"/>
    </xf>
    <xf numFmtId="165" fontId="2" fillId="0" borderId="14" xfId="0" applyNumberFormat="1" applyFont="1" applyBorder="1" applyAlignment="1">
      <alignment horizontal="center" vertical="center"/>
    </xf>
    <xf numFmtId="1" fontId="2" fillId="0" borderId="6" xfId="0" applyNumberFormat="1" applyFont="1" applyBorder="1" applyAlignment="1" applyProtection="1">
      <alignment horizontal="center" vertical="center"/>
      <protection hidden="1"/>
    </xf>
    <xf numFmtId="1" fontId="2" fillId="0" borderId="19" xfId="0" quotePrefix="1" applyNumberFormat="1" applyFont="1" applyBorder="1" applyAlignment="1">
      <alignment horizontal="center" vertical="center"/>
    </xf>
    <xf numFmtId="165" fontId="2" fillId="0" borderId="44" xfId="0" quotePrefix="1" applyNumberFormat="1" applyFont="1" applyBorder="1" applyAlignment="1">
      <alignment horizontal="center" vertical="center"/>
    </xf>
    <xf numFmtId="165" fontId="2" fillId="0" borderId="22" xfId="0" quotePrefix="1" applyNumberFormat="1" applyFont="1" applyBorder="1" applyAlignment="1">
      <alignment horizontal="center" vertical="center"/>
    </xf>
    <xf numFmtId="0" fontId="2" fillId="0" borderId="100" xfId="0" applyFont="1" applyBorder="1" applyAlignment="1">
      <alignment vertical="center"/>
    </xf>
    <xf numFmtId="0" fontId="2" fillId="0" borderId="49" xfId="0" applyFont="1" applyBorder="1" applyAlignment="1">
      <alignment vertical="center"/>
    </xf>
    <xf numFmtId="165" fontId="2" fillId="0" borderId="49" xfId="0" quotePrefix="1" applyNumberFormat="1" applyFont="1" applyBorder="1" applyAlignment="1">
      <alignment horizontal="center" vertical="center"/>
    </xf>
    <xf numFmtId="165" fontId="2" fillId="0" borderId="20" xfId="0" quotePrefix="1" applyNumberFormat="1" applyFont="1" applyBorder="1" applyAlignment="1">
      <alignment horizontal="center" vertical="center"/>
    </xf>
    <xf numFmtId="165" fontId="2" fillId="0" borderId="13" xfId="0" applyNumberFormat="1" applyFont="1" applyBorder="1" applyAlignment="1">
      <alignment horizontal="center" vertical="center"/>
    </xf>
    <xf numFmtId="165" fontId="2" fillId="0" borderId="58" xfId="0" quotePrefix="1" applyNumberFormat="1" applyFont="1" applyBorder="1" applyAlignment="1">
      <alignment horizontal="center" vertical="center"/>
    </xf>
    <xf numFmtId="165" fontId="2" fillId="0" borderId="13" xfId="0" quotePrefix="1" applyNumberFormat="1" applyFont="1" applyBorder="1" applyAlignment="1">
      <alignment horizontal="center" vertical="center"/>
    </xf>
    <xf numFmtId="0" fontId="2" fillId="0" borderId="44" xfId="0" applyFont="1" applyBorder="1" applyAlignment="1">
      <alignment vertical="center"/>
    </xf>
    <xf numFmtId="165" fontId="2" fillId="0" borderId="100" xfId="0" quotePrefix="1" applyNumberFormat="1" applyFont="1" applyBorder="1" applyAlignment="1">
      <alignment horizontal="center" vertical="center"/>
    </xf>
    <xf numFmtId="165" fontId="2" fillId="0" borderId="59" xfId="0" quotePrefix="1" applyNumberFormat="1" applyFont="1" applyBorder="1" applyAlignment="1">
      <alignment horizontal="center" vertical="center"/>
    </xf>
    <xf numFmtId="0" fontId="2" fillId="0" borderId="34" xfId="0" applyFont="1" applyBorder="1" applyAlignment="1">
      <alignment horizontal="center"/>
    </xf>
    <xf numFmtId="0" fontId="2" fillId="0" borderId="34" xfId="0" quotePrefix="1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14" xfId="0" applyFont="1" applyBorder="1" applyAlignment="1" applyProtection="1">
      <alignment horizontal="center" textRotation="90" shrinkToFit="1"/>
      <protection hidden="1"/>
    </xf>
    <xf numFmtId="0" fontId="2" fillId="0" borderId="115" xfId="0" applyFont="1" applyBorder="1" applyAlignment="1" applyProtection="1">
      <alignment horizontal="center" textRotation="90" shrinkToFit="1"/>
      <protection hidden="1"/>
    </xf>
    <xf numFmtId="0" fontId="2" fillId="0" borderId="17" xfId="0" applyFont="1" applyBorder="1" applyAlignment="1" applyProtection="1">
      <alignment horizontal="center" vertical="center"/>
      <protection hidden="1"/>
    </xf>
    <xf numFmtId="0" fontId="2" fillId="0" borderId="40" xfId="0" applyFont="1" applyBorder="1" applyAlignment="1" applyProtection="1">
      <alignment horizontal="center" textRotation="90"/>
      <protection hidden="1"/>
    </xf>
    <xf numFmtId="0" fontId="2" fillId="0" borderId="38" xfId="0" applyFont="1" applyBorder="1" applyAlignment="1" applyProtection="1">
      <alignment horizontal="center" vertical="center"/>
      <protection hidden="1"/>
    </xf>
    <xf numFmtId="0" fontId="2" fillId="0" borderId="42" xfId="0" applyFont="1" applyBorder="1" applyAlignment="1">
      <alignment horizontal="center" vertical="center" wrapText="1"/>
    </xf>
    <xf numFmtId="0" fontId="2" fillId="0" borderId="35" xfId="0" quotePrefix="1" applyFont="1" applyBorder="1" applyAlignment="1" applyProtection="1">
      <alignment horizontal="center" vertical="center"/>
      <protection hidden="1"/>
    </xf>
    <xf numFmtId="0" fontId="4" fillId="0" borderId="57" xfId="0" quotePrefix="1" applyFont="1" applyBorder="1" applyAlignment="1">
      <alignment horizontal="center" vertical="center"/>
    </xf>
    <xf numFmtId="0" fontId="2" fillId="0" borderId="113" xfId="0" applyFont="1" applyBorder="1" applyAlignment="1">
      <alignment horizontal="center" textRotation="90" wrapText="1"/>
    </xf>
    <xf numFmtId="0" fontId="2" fillId="0" borderId="35" xfId="0" applyFont="1" applyBorder="1" applyAlignment="1">
      <alignment horizontal="center" vertical="center" wrapText="1"/>
    </xf>
    <xf numFmtId="0" fontId="2" fillId="0" borderId="45" xfId="0" applyFont="1" applyBorder="1" applyAlignment="1" applyProtection="1">
      <alignment vertical="center"/>
      <protection hidden="1"/>
    </xf>
    <xf numFmtId="0" fontId="2" fillId="0" borderId="1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textRotation="90" wrapText="1"/>
    </xf>
    <xf numFmtId="0" fontId="2" fillId="0" borderId="26" xfId="0" applyFont="1" applyBorder="1" applyAlignment="1">
      <alignment horizontal="center" vertical="center" wrapText="1"/>
    </xf>
    <xf numFmtId="0" fontId="2" fillId="0" borderId="13" xfId="0" quotePrefix="1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65" fontId="2" fillId="0" borderId="59" xfId="1540" applyNumberFormat="1" applyFont="1" applyBorder="1" applyAlignment="1" applyProtection="1">
      <alignment vertical="center"/>
      <protection hidden="1"/>
    </xf>
    <xf numFmtId="14" fontId="0" fillId="0" borderId="0" xfId="0" applyNumberFormat="1" applyAlignment="1">
      <alignment vertical="center"/>
    </xf>
    <xf numFmtId="0" fontId="5" fillId="0" borderId="38" xfId="0" applyFont="1" applyBorder="1" applyAlignment="1">
      <alignment vertical="center"/>
    </xf>
    <xf numFmtId="1" fontId="5" fillId="0" borderId="71" xfId="0" applyNumberFormat="1" applyFont="1" applyBorder="1" applyAlignment="1">
      <alignment vertical="center"/>
    </xf>
    <xf numFmtId="0" fontId="5" fillId="0" borderId="71" xfId="0" applyFont="1" applyBorder="1" applyAlignment="1">
      <alignment vertical="center"/>
    </xf>
    <xf numFmtId="1" fontId="4" fillId="0" borderId="47" xfId="0" applyNumberFormat="1" applyFont="1" applyBorder="1" applyAlignment="1" applyProtection="1">
      <alignment horizontal="center" vertical="center"/>
      <protection hidden="1"/>
    </xf>
    <xf numFmtId="165" fontId="2" fillId="0" borderId="22" xfId="1540" applyNumberFormat="1" applyFont="1" applyBorder="1" applyAlignment="1" applyProtection="1">
      <alignment vertical="center"/>
      <protection hidden="1"/>
    </xf>
    <xf numFmtId="0" fontId="2" fillId="0" borderId="60" xfId="1540" applyFont="1" applyBorder="1" applyAlignment="1" applyProtection="1">
      <alignment vertical="center"/>
      <protection hidden="1"/>
    </xf>
    <xf numFmtId="0" fontId="2" fillId="0" borderId="49" xfId="1540" applyFont="1" applyBorder="1" applyAlignment="1" applyProtection="1">
      <alignment vertical="center"/>
      <protection hidden="1"/>
    </xf>
    <xf numFmtId="0" fontId="4" fillId="0" borderId="59" xfId="0" applyFont="1" applyBorder="1" applyAlignment="1" applyProtection="1">
      <alignment horizontal="center"/>
      <protection hidden="1"/>
    </xf>
    <xf numFmtId="165" fontId="4" fillId="0" borderId="78" xfId="0" applyNumberFormat="1" applyFont="1" applyBorder="1" applyAlignment="1" applyProtection="1">
      <alignment horizontal="center"/>
      <protection hidden="1"/>
    </xf>
    <xf numFmtId="165" fontId="2" fillId="0" borderId="100" xfId="1540" applyNumberFormat="1" applyFont="1" applyBorder="1" applyAlignment="1" applyProtection="1">
      <alignment vertical="center"/>
      <protection hidden="1"/>
    </xf>
    <xf numFmtId="165" fontId="42" fillId="0" borderId="0" xfId="0" applyNumberFormat="1" applyFont="1" applyAlignment="1">
      <alignment horizontal="center"/>
    </xf>
    <xf numFmtId="0" fontId="45" fillId="0" borderId="0" xfId="0" applyFont="1"/>
    <xf numFmtId="0" fontId="2" fillId="0" borderId="26" xfId="0" quotePrefix="1" applyFont="1" applyBorder="1" applyAlignment="1" applyProtection="1">
      <alignment horizontal="center" vertical="center"/>
      <protection hidden="1"/>
    </xf>
    <xf numFmtId="1" fontId="2" fillId="0" borderId="17" xfId="0" applyNumberFormat="1" applyFont="1" applyBorder="1" applyAlignment="1" applyProtection="1">
      <alignment horizontal="center" vertical="center"/>
      <protection hidden="1"/>
    </xf>
    <xf numFmtId="0" fontId="44" fillId="0" borderId="0" xfId="0" applyFont="1" applyAlignment="1">
      <alignment horizontal="center"/>
    </xf>
    <xf numFmtId="0" fontId="5" fillId="0" borderId="27" xfId="0" applyFont="1" applyBorder="1" applyAlignment="1" applyProtection="1">
      <alignment vertical="center"/>
      <protection locked="0" hidden="1"/>
    </xf>
    <xf numFmtId="0" fontId="2" fillId="0" borderId="37" xfId="0" applyFont="1" applyBorder="1" applyAlignment="1">
      <alignment vertical="center"/>
    </xf>
    <xf numFmtId="0" fontId="2" fillId="0" borderId="59" xfId="0" applyFont="1" applyBorder="1" applyAlignment="1">
      <alignment vertical="center"/>
    </xf>
    <xf numFmtId="165" fontId="2" fillId="0" borderId="49" xfId="1540" applyNumberFormat="1" applyFont="1" applyBorder="1" applyAlignment="1" applyProtection="1">
      <alignment vertical="center"/>
      <protection hidden="1"/>
    </xf>
    <xf numFmtId="0" fontId="2" fillId="0" borderId="106" xfId="0" applyFont="1" applyBorder="1" applyAlignment="1" applyProtection="1">
      <alignment horizontal="center" vertical="center"/>
      <protection hidden="1"/>
    </xf>
    <xf numFmtId="0" fontId="2" fillId="0" borderId="104" xfId="0" applyFont="1" applyBorder="1" applyAlignment="1" applyProtection="1">
      <alignment horizontal="center" textRotation="90"/>
      <protection hidden="1"/>
    </xf>
    <xf numFmtId="0" fontId="2" fillId="0" borderId="105" xfId="0" applyFont="1" applyBorder="1" applyAlignment="1" applyProtection="1">
      <alignment horizontal="center" vertical="center"/>
      <protection hidden="1"/>
    </xf>
    <xf numFmtId="0" fontId="2" fillId="0" borderId="10" xfId="0" applyFont="1" applyBorder="1" applyAlignment="1" applyProtection="1">
      <alignment horizontal="center" textRotation="90"/>
      <protection hidden="1"/>
    </xf>
    <xf numFmtId="0" fontId="2" fillId="0" borderId="70" xfId="0" applyFont="1" applyBorder="1" applyAlignment="1" applyProtection="1">
      <alignment horizontal="center" vertical="center"/>
      <protection hidden="1"/>
    </xf>
    <xf numFmtId="0" fontId="2" fillId="0" borderId="26" xfId="0" applyFont="1" applyBorder="1" applyAlignment="1" applyProtection="1">
      <alignment horizontal="center" vertical="center"/>
      <protection hidden="1"/>
    </xf>
    <xf numFmtId="0" fontId="2" fillId="0" borderId="52" xfId="0" applyFont="1" applyBorder="1" applyAlignment="1">
      <alignment horizontal="center" vertical="center"/>
    </xf>
    <xf numFmtId="0" fontId="2" fillId="0" borderId="52" xfId="0" applyFont="1" applyBorder="1" applyAlignment="1" applyProtection="1">
      <alignment horizontal="center" vertical="center"/>
      <protection locked="0" hidden="1"/>
    </xf>
    <xf numFmtId="0" fontId="2" fillId="0" borderId="84" xfId="0" applyFont="1" applyBorder="1" applyAlignment="1">
      <alignment horizontal="center" vertical="center"/>
    </xf>
    <xf numFmtId="0" fontId="2" fillId="0" borderId="55" xfId="0" applyFont="1" applyBorder="1" applyAlignment="1">
      <alignment horizontal="center"/>
    </xf>
    <xf numFmtId="1" fontId="4" fillId="0" borderId="85" xfId="0" applyNumberFormat="1" applyFont="1" applyBorder="1" applyAlignment="1" applyProtection="1">
      <alignment horizontal="center"/>
      <protection hidden="1"/>
    </xf>
    <xf numFmtId="1" fontId="4" fillId="0" borderId="87" xfId="0" applyNumberFormat="1" applyFont="1" applyBorder="1" applyAlignment="1" applyProtection="1">
      <alignment horizontal="center"/>
      <protection hidden="1"/>
    </xf>
    <xf numFmtId="1" fontId="4" fillId="0" borderId="83" xfId="0" applyNumberFormat="1" applyFont="1" applyBorder="1" applyAlignment="1" applyProtection="1">
      <alignment horizontal="center"/>
      <protection hidden="1"/>
    </xf>
    <xf numFmtId="165" fontId="4" fillId="0" borderId="85" xfId="0" applyNumberFormat="1" applyFont="1" applyBorder="1" applyAlignment="1" applyProtection="1">
      <alignment horizontal="center"/>
      <protection hidden="1"/>
    </xf>
    <xf numFmtId="165" fontId="2" fillId="0" borderId="117" xfId="0" quotePrefix="1" applyNumberFormat="1" applyFont="1" applyBorder="1" applyAlignment="1" applyProtection="1">
      <alignment horizontal="center"/>
      <protection hidden="1"/>
    </xf>
    <xf numFmtId="1" fontId="2" fillId="0" borderId="83" xfId="0" quotePrefix="1" applyNumberFormat="1" applyFont="1" applyBorder="1" applyAlignment="1" applyProtection="1">
      <alignment horizontal="center"/>
      <protection hidden="1"/>
    </xf>
    <xf numFmtId="1" fontId="2" fillId="0" borderId="85" xfId="0" quotePrefix="1" applyNumberFormat="1" applyFont="1" applyBorder="1" applyAlignment="1" applyProtection="1">
      <alignment horizontal="center"/>
      <protection hidden="1"/>
    </xf>
    <xf numFmtId="0" fontId="2" fillId="0" borderId="87" xfId="0" quotePrefix="1" applyFont="1" applyBorder="1" applyAlignment="1" applyProtection="1">
      <alignment horizontal="center"/>
      <protection hidden="1"/>
    </xf>
    <xf numFmtId="0" fontId="2" fillId="0" borderId="52" xfId="0" quotePrefix="1" applyFont="1" applyBorder="1" applyAlignment="1" applyProtection="1">
      <alignment horizontal="center"/>
      <protection hidden="1"/>
    </xf>
    <xf numFmtId="0" fontId="4" fillId="0" borderId="83" xfId="0" applyFont="1" applyBorder="1" applyAlignment="1" applyProtection="1">
      <alignment horizontal="center"/>
      <protection hidden="1"/>
    </xf>
    <xf numFmtId="0" fontId="4" fillId="0" borderId="132" xfId="1540" applyBorder="1" applyAlignment="1" applyProtection="1">
      <alignment horizontal="center"/>
      <protection hidden="1"/>
    </xf>
    <xf numFmtId="1" fontId="2" fillId="0" borderId="101" xfId="0" applyNumberFormat="1" applyFont="1" applyBorder="1" applyAlignment="1" applyProtection="1">
      <alignment horizontal="center" vertical="center"/>
      <protection hidden="1"/>
    </xf>
    <xf numFmtId="1" fontId="2" fillId="0" borderId="32" xfId="0" applyNumberFormat="1" applyFont="1" applyBorder="1" applyAlignment="1" applyProtection="1">
      <alignment horizontal="center" vertical="center"/>
      <protection hidden="1"/>
    </xf>
    <xf numFmtId="1" fontId="2" fillId="0" borderId="32" xfId="0" quotePrefix="1" applyNumberFormat="1" applyFont="1" applyBorder="1" applyAlignment="1" applyProtection="1">
      <alignment horizontal="center" vertical="center"/>
      <protection hidden="1"/>
    </xf>
    <xf numFmtId="1" fontId="2" fillId="0" borderId="86" xfId="0" quotePrefix="1" applyNumberFormat="1" applyFont="1" applyBorder="1" applyAlignment="1" applyProtection="1">
      <alignment horizontal="center" vertical="center"/>
      <protection hidden="1"/>
    </xf>
    <xf numFmtId="1" fontId="2" fillId="0" borderId="88" xfId="0" quotePrefix="1" applyNumberFormat="1" applyFont="1" applyBorder="1" applyAlignment="1" applyProtection="1">
      <alignment horizontal="center" vertical="center"/>
      <protection hidden="1"/>
    </xf>
    <xf numFmtId="0" fontId="4" fillId="0" borderId="55" xfId="0" applyFont="1" applyBorder="1" applyProtection="1">
      <protection hidden="1"/>
    </xf>
    <xf numFmtId="0" fontId="4" fillId="0" borderId="55" xfId="0" applyFont="1" applyBorder="1" applyAlignment="1" applyProtection="1">
      <alignment horizontal="center"/>
      <protection hidden="1"/>
    </xf>
    <xf numFmtId="1" fontId="4" fillId="0" borderId="87" xfId="0" applyNumberFormat="1" applyFont="1" applyBorder="1" applyAlignment="1" applyProtection="1">
      <alignment horizontal="center" vertical="center"/>
      <protection hidden="1"/>
    </xf>
    <xf numFmtId="165" fontId="4" fillId="0" borderId="71" xfId="0" applyNumberFormat="1" applyFont="1" applyBorder="1" applyAlignment="1" applyProtection="1">
      <alignment horizontal="center" vertical="center"/>
      <protection hidden="1"/>
    </xf>
    <xf numFmtId="165" fontId="4" fillId="0" borderId="6" xfId="0" applyNumberFormat="1" applyFont="1" applyBorder="1" applyAlignment="1" applyProtection="1">
      <alignment horizontal="center" vertical="center"/>
      <protection hidden="1"/>
    </xf>
    <xf numFmtId="1" fontId="4" fillId="0" borderId="7" xfId="0" applyNumberFormat="1" applyFont="1" applyBorder="1" applyAlignment="1" applyProtection="1">
      <alignment horizontal="center" vertical="center"/>
      <protection hidden="1"/>
    </xf>
    <xf numFmtId="165" fontId="4" fillId="0" borderId="56" xfId="0" applyNumberFormat="1" applyFont="1" applyBorder="1" applyAlignment="1" applyProtection="1">
      <alignment horizontal="center" vertical="center"/>
      <protection hidden="1"/>
    </xf>
    <xf numFmtId="165" fontId="2" fillId="0" borderId="18" xfId="0" quotePrefix="1" applyNumberFormat="1" applyFont="1" applyBorder="1" applyAlignment="1" applyProtection="1">
      <alignment horizontal="center" vertical="center"/>
      <protection hidden="1"/>
    </xf>
    <xf numFmtId="165" fontId="4" fillId="0" borderId="14" xfId="0" quotePrefix="1" applyNumberFormat="1" applyFont="1" applyBorder="1" applyAlignment="1" applyProtection="1">
      <alignment horizontal="center" vertical="center"/>
      <protection hidden="1"/>
    </xf>
    <xf numFmtId="165" fontId="4" fillId="0" borderId="56" xfId="0" quotePrefix="1" applyNumberFormat="1" applyFont="1" applyBorder="1" applyAlignment="1" applyProtection="1">
      <alignment horizontal="center" vertical="center"/>
      <protection hidden="1"/>
    </xf>
    <xf numFmtId="165" fontId="4" fillId="0" borderId="6" xfId="0" quotePrefix="1" applyNumberFormat="1" applyFont="1" applyBorder="1" applyAlignment="1" applyProtection="1">
      <alignment horizontal="center" vertical="center"/>
      <protection hidden="1"/>
    </xf>
    <xf numFmtId="165" fontId="4" fillId="0" borderId="71" xfId="0" quotePrefix="1" applyNumberFormat="1" applyFont="1" applyBorder="1" applyAlignment="1" applyProtection="1">
      <alignment horizontal="center" vertical="center"/>
      <protection hidden="1"/>
    </xf>
    <xf numFmtId="0" fontId="4" fillId="0" borderId="41" xfId="0" quotePrefix="1" applyFont="1" applyBorder="1" applyAlignment="1" applyProtection="1">
      <alignment horizontal="center" vertical="center"/>
      <protection hidden="1"/>
    </xf>
    <xf numFmtId="0" fontId="4" fillId="0" borderId="35" xfId="0" applyFont="1" applyBorder="1" applyAlignment="1" applyProtection="1">
      <alignment horizontal="center" vertical="center"/>
      <protection hidden="1"/>
    </xf>
    <xf numFmtId="0" fontId="4" fillId="0" borderId="34" xfId="0" quotePrefix="1" applyFont="1" applyBorder="1" applyAlignment="1" applyProtection="1">
      <alignment horizontal="center" vertical="center"/>
      <protection hidden="1"/>
    </xf>
    <xf numFmtId="0" fontId="4" fillId="0" borderId="52" xfId="0" applyFont="1" applyBorder="1" applyAlignment="1" applyProtection="1">
      <alignment horizontal="center" vertical="center"/>
      <protection hidden="1"/>
    </xf>
    <xf numFmtId="0" fontId="4" fillId="0" borderId="18" xfId="0" applyFont="1" applyBorder="1" applyAlignment="1" applyProtection="1">
      <alignment horizontal="center" vertical="center"/>
      <protection hidden="1"/>
    </xf>
    <xf numFmtId="0" fontId="4" fillId="0" borderId="81" xfId="0" applyFont="1" applyBorder="1" applyAlignment="1" applyProtection="1">
      <alignment horizontal="center" vertical="center"/>
      <protection hidden="1"/>
    </xf>
    <xf numFmtId="0" fontId="4" fillId="0" borderId="76" xfId="0" applyFont="1" applyBorder="1" applyAlignment="1" applyProtection="1">
      <alignment horizontal="center" vertical="center"/>
      <protection hidden="1"/>
    </xf>
    <xf numFmtId="0" fontId="4" fillId="0" borderId="89" xfId="0" applyFont="1" applyBorder="1" applyAlignment="1" applyProtection="1">
      <alignment horizontal="center" vertical="center"/>
      <protection hidden="1"/>
    </xf>
    <xf numFmtId="0" fontId="4" fillId="0" borderId="14" xfId="0" applyFont="1" applyBorder="1" applyAlignment="1" applyProtection="1">
      <alignment horizontal="center" vertical="center"/>
      <protection hidden="1"/>
    </xf>
    <xf numFmtId="0" fontId="4" fillId="0" borderId="56" xfId="0" applyFont="1" applyBorder="1" applyAlignment="1" applyProtection="1">
      <alignment horizontal="center" vertical="center"/>
      <protection hidden="1"/>
    </xf>
    <xf numFmtId="0" fontId="4" fillId="0" borderId="28" xfId="0" applyFont="1" applyBorder="1" applyAlignment="1" applyProtection="1">
      <alignment horizontal="center" vertical="center"/>
      <protection hidden="1"/>
    </xf>
    <xf numFmtId="0" fontId="4" fillId="0" borderId="85" xfId="0" applyFont="1" applyBorder="1" applyAlignment="1" applyProtection="1">
      <alignment horizontal="center" vertical="center"/>
      <protection hidden="1"/>
    </xf>
    <xf numFmtId="0" fontId="4" fillId="0" borderId="6" xfId="0" quotePrefix="1" applyFont="1" applyBorder="1" applyAlignment="1" applyProtection="1">
      <alignment horizontal="center" vertical="center"/>
      <protection hidden="1"/>
    </xf>
    <xf numFmtId="0" fontId="4" fillId="0" borderId="71" xfId="0" quotePrefix="1" applyFont="1" applyBorder="1" applyAlignment="1" applyProtection="1">
      <alignment horizontal="center" vertical="center"/>
      <protection hidden="1"/>
    </xf>
    <xf numFmtId="0" fontId="4" fillId="0" borderId="29" xfId="0" quotePrefix="1" applyFont="1" applyBorder="1" applyAlignment="1" applyProtection="1">
      <alignment horizontal="center" vertical="center"/>
      <protection hidden="1"/>
    </xf>
    <xf numFmtId="0" fontId="13" fillId="0" borderId="0" xfId="0" applyFont="1" applyAlignment="1" applyProtection="1">
      <alignment horizontal="center"/>
      <protection locked="0" hidden="1"/>
    </xf>
    <xf numFmtId="0" fontId="13" fillId="0" borderId="0" xfId="0" applyFont="1" applyAlignment="1">
      <alignment horizontal="center"/>
    </xf>
    <xf numFmtId="0" fontId="2" fillId="0" borderId="17" xfId="0" quotePrefix="1" applyFont="1" applyBorder="1" applyAlignment="1" applyProtection="1">
      <alignment horizontal="center" vertical="center"/>
      <protection hidden="1"/>
    </xf>
    <xf numFmtId="0" fontId="4" fillId="0" borderId="95" xfId="0" applyFont="1" applyBorder="1" applyAlignment="1" applyProtection="1">
      <alignment horizontal="center" vertical="center"/>
      <protection hidden="1"/>
    </xf>
    <xf numFmtId="165" fontId="0" fillId="0" borderId="0" xfId="0" applyNumberFormat="1" applyAlignment="1">
      <alignment horizontal="right" vertical="center"/>
    </xf>
    <xf numFmtId="165" fontId="2" fillId="0" borderId="118" xfId="0" quotePrefix="1" applyNumberFormat="1" applyFont="1" applyBorder="1" applyAlignment="1">
      <alignment horizontal="center" vertical="center"/>
    </xf>
    <xf numFmtId="165" fontId="2" fillId="0" borderId="90" xfId="0" quotePrefix="1" applyNumberFormat="1" applyFont="1" applyBorder="1" applyAlignment="1">
      <alignment horizontal="center" vertical="center"/>
    </xf>
    <xf numFmtId="165" fontId="2" fillId="0" borderId="102" xfId="0" quotePrefix="1" applyNumberFormat="1" applyFont="1" applyBorder="1" applyAlignment="1">
      <alignment horizontal="center" vertical="center"/>
    </xf>
    <xf numFmtId="0" fontId="2" fillId="0" borderId="54" xfId="0" quotePrefix="1" applyFont="1" applyBorder="1" applyAlignment="1">
      <alignment horizontal="center" vertical="center"/>
    </xf>
    <xf numFmtId="1" fontId="4" fillId="0" borderId="82" xfId="0" applyNumberFormat="1" applyFont="1" applyBorder="1" applyAlignment="1">
      <alignment horizontal="center" vertical="center"/>
    </xf>
    <xf numFmtId="0" fontId="4" fillId="0" borderId="133" xfId="0" applyFont="1" applyBorder="1" applyAlignment="1">
      <alignment horizontal="center" vertical="center"/>
    </xf>
    <xf numFmtId="1" fontId="4" fillId="0" borderId="79" xfId="0" applyNumberFormat="1" applyFont="1" applyBorder="1" applyAlignment="1">
      <alignment horizontal="center" vertical="center"/>
    </xf>
    <xf numFmtId="165" fontId="4" fillId="0" borderId="96" xfId="0" applyNumberFormat="1" applyFont="1" applyBorder="1" applyAlignment="1">
      <alignment horizontal="center" vertical="center"/>
    </xf>
    <xf numFmtId="1" fontId="4" fillId="0" borderId="80" xfId="0" applyNumberFormat="1" applyFont="1" applyBorder="1" applyAlignment="1" applyProtection="1">
      <alignment horizontal="center" vertical="center"/>
      <protection hidden="1"/>
    </xf>
    <xf numFmtId="1" fontId="4" fillId="0" borderId="87" xfId="0" applyNumberFormat="1" applyFont="1" applyBorder="1" applyAlignment="1">
      <alignment horizontal="center" vertical="center"/>
    </xf>
    <xf numFmtId="165" fontId="4" fillId="0" borderId="131" xfId="0" applyNumberFormat="1" applyFont="1" applyBorder="1" applyAlignment="1">
      <alignment horizontal="center" vertical="center"/>
    </xf>
    <xf numFmtId="165" fontId="4" fillId="0" borderId="136" xfId="0" applyNumberFormat="1" applyFont="1" applyBorder="1" applyAlignment="1">
      <alignment horizontal="center" vertical="center"/>
    </xf>
    <xf numFmtId="0" fontId="4" fillId="0" borderId="79" xfId="0" applyFont="1" applyBorder="1" applyAlignment="1">
      <alignment horizontal="center" vertical="center"/>
    </xf>
    <xf numFmtId="0" fontId="4" fillId="0" borderId="96" xfId="0" applyFont="1" applyBorder="1" applyAlignment="1">
      <alignment horizontal="center" vertical="center"/>
    </xf>
    <xf numFmtId="0" fontId="4" fillId="0" borderId="137" xfId="0" applyFont="1" applyBorder="1" applyAlignment="1">
      <alignment horizontal="center" vertical="center"/>
    </xf>
    <xf numFmtId="165" fontId="2" fillId="0" borderId="96" xfId="0" quotePrefix="1" applyNumberFormat="1" applyFont="1" applyBorder="1" applyAlignment="1">
      <alignment horizontal="center" vertical="center"/>
    </xf>
    <xf numFmtId="0" fontId="2" fillId="0" borderId="34" xfId="0" applyFont="1" applyBorder="1" applyAlignment="1" applyProtection="1">
      <alignment vertical="center"/>
      <protection hidden="1"/>
    </xf>
    <xf numFmtId="0" fontId="2" fillId="0" borderId="8" xfId="0" applyFont="1" applyBorder="1" applyAlignment="1" applyProtection="1">
      <alignment horizontal="center" textRotation="90"/>
      <protection hidden="1"/>
    </xf>
    <xf numFmtId="0" fontId="2" fillId="0" borderId="31" xfId="0" applyFont="1" applyBorder="1" applyAlignment="1" applyProtection="1">
      <alignment horizontal="center" vertical="center"/>
      <protection hidden="1"/>
    </xf>
    <xf numFmtId="0" fontId="2" fillId="0" borderId="10" xfId="0" applyFont="1" applyBorder="1" applyAlignment="1">
      <alignment horizontal="center" textRotation="90"/>
    </xf>
    <xf numFmtId="0" fontId="2" fillId="0" borderId="52" xfId="0" applyFont="1" applyBorder="1" applyAlignment="1">
      <alignment horizontal="center" vertical="center" wrapText="1"/>
    </xf>
    <xf numFmtId="1" fontId="4" fillId="0" borderId="89" xfId="0" applyNumberFormat="1" applyFont="1" applyBorder="1" applyAlignment="1">
      <alignment horizontal="center" vertical="center"/>
    </xf>
    <xf numFmtId="165" fontId="4" fillId="0" borderId="85" xfId="0" applyNumberFormat="1" applyFont="1" applyBorder="1" applyAlignment="1">
      <alignment horizontal="center" vertical="center"/>
    </xf>
    <xf numFmtId="1" fontId="4" fillId="0" borderId="85" xfId="0" applyNumberFormat="1" applyFont="1" applyBorder="1" applyAlignment="1">
      <alignment horizontal="center" vertical="center"/>
    </xf>
    <xf numFmtId="1" fontId="2" fillId="0" borderId="89" xfId="0" applyNumberFormat="1" applyFont="1" applyBorder="1" applyAlignment="1">
      <alignment horizontal="center" vertical="center"/>
    </xf>
    <xf numFmtId="165" fontId="2" fillId="0" borderId="87" xfId="0" quotePrefix="1" applyNumberFormat="1" applyFont="1" applyBorder="1" applyAlignment="1">
      <alignment horizontal="center" vertical="center"/>
    </xf>
    <xf numFmtId="0" fontId="2" fillId="0" borderId="52" xfId="0" quotePrefix="1" applyFont="1" applyBorder="1" applyAlignment="1">
      <alignment horizontal="center" vertical="center"/>
    </xf>
    <xf numFmtId="0" fontId="4" fillId="0" borderId="89" xfId="0" quotePrefix="1" applyFont="1" applyBorder="1" applyAlignment="1">
      <alignment horizontal="center" vertical="center"/>
    </xf>
    <xf numFmtId="0" fontId="4" fillId="0" borderId="85" xfId="0" applyFont="1" applyBorder="1" applyAlignment="1">
      <alignment horizontal="center" vertical="center"/>
    </xf>
    <xf numFmtId="0" fontId="4" fillId="0" borderId="132" xfId="0" applyFont="1" applyBorder="1" applyAlignment="1">
      <alignment horizontal="center" vertical="center"/>
    </xf>
    <xf numFmtId="1" fontId="2" fillId="0" borderId="33" xfId="0" applyNumberFormat="1" applyFont="1" applyBorder="1" applyAlignment="1" applyProtection="1">
      <alignment vertical="center"/>
      <protection locked="0" hidden="1"/>
    </xf>
    <xf numFmtId="1" fontId="4" fillId="0" borderId="33" xfId="0" applyNumberFormat="1" applyFont="1" applyBorder="1" applyAlignment="1" applyProtection="1">
      <alignment horizontal="center" vertical="center"/>
      <protection locked="0" hidden="1"/>
    </xf>
    <xf numFmtId="1" fontId="4" fillId="0" borderId="97" xfId="0" applyNumberFormat="1" applyFont="1" applyBorder="1" applyAlignment="1" applyProtection="1">
      <alignment horizontal="center" vertical="center"/>
      <protection hidden="1"/>
    </xf>
    <xf numFmtId="1" fontId="4" fillId="0" borderId="83" xfId="0" applyNumberFormat="1" applyFont="1" applyBorder="1" applyAlignment="1" applyProtection="1">
      <alignment horizontal="center" vertical="center"/>
      <protection hidden="1"/>
    </xf>
    <xf numFmtId="1" fontId="4" fillId="0" borderId="98" xfId="0" applyNumberFormat="1" applyFont="1" applyBorder="1" applyAlignment="1" applyProtection="1">
      <alignment horizontal="center" vertical="center"/>
      <protection hidden="1"/>
    </xf>
    <xf numFmtId="1" fontId="4" fillId="0" borderId="85" xfId="0" applyNumberFormat="1" applyFont="1" applyBorder="1" applyAlignment="1" applyProtection="1">
      <alignment horizontal="center" vertical="center"/>
      <protection hidden="1"/>
    </xf>
    <xf numFmtId="1" fontId="4" fillId="0" borderId="98" xfId="0" quotePrefix="1" applyNumberFormat="1" applyFont="1" applyBorder="1" applyAlignment="1" applyProtection="1">
      <alignment horizontal="center" vertical="center"/>
      <protection hidden="1"/>
    </xf>
    <xf numFmtId="1" fontId="4" fillId="0" borderId="99" xfId="0" applyNumberFormat="1" applyFont="1" applyBorder="1" applyAlignment="1" applyProtection="1">
      <alignment horizontal="center" vertical="center"/>
      <protection hidden="1"/>
    </xf>
    <xf numFmtId="1" fontId="4" fillId="0" borderId="117" xfId="0" applyNumberFormat="1" applyFont="1" applyBorder="1" applyAlignment="1" applyProtection="1">
      <alignment horizontal="center" vertical="center"/>
      <protection hidden="1"/>
    </xf>
    <xf numFmtId="0" fontId="0" fillId="0" borderId="75" xfId="0" applyBorder="1" applyAlignment="1">
      <alignment vertical="center"/>
    </xf>
    <xf numFmtId="1" fontId="2" fillId="0" borderId="21" xfId="0" applyNumberFormat="1" applyFont="1" applyBorder="1" applyAlignment="1" applyProtection="1">
      <alignment vertical="center"/>
      <protection locked="0" hidden="1"/>
    </xf>
    <xf numFmtId="1" fontId="2" fillId="0" borderId="19" xfId="0" applyNumberFormat="1" applyFont="1" applyBorder="1" applyAlignment="1" applyProtection="1">
      <alignment vertical="center"/>
      <protection hidden="1"/>
    </xf>
    <xf numFmtId="1" fontId="4" fillId="0" borderId="116" xfId="0" applyNumberFormat="1" applyFont="1" applyBorder="1" applyAlignment="1" applyProtection="1">
      <alignment horizontal="center" vertical="center"/>
      <protection hidden="1"/>
    </xf>
    <xf numFmtId="1" fontId="4" fillId="0" borderId="70" xfId="0" applyNumberFormat="1" applyFont="1" applyBorder="1" applyAlignment="1" applyProtection="1">
      <alignment horizontal="center" vertical="center"/>
      <protection hidden="1"/>
    </xf>
    <xf numFmtId="1" fontId="4" fillId="0" borderId="90" xfId="0" applyNumberFormat="1" applyFont="1" applyBorder="1" applyAlignment="1" applyProtection="1">
      <alignment horizontal="center" vertical="center"/>
      <protection hidden="1"/>
    </xf>
    <xf numFmtId="165" fontId="4" fillId="0" borderId="98" xfId="0" applyNumberFormat="1" applyFont="1" applyBorder="1" applyAlignment="1" applyProtection="1">
      <alignment horizontal="center" vertical="center"/>
      <protection hidden="1"/>
    </xf>
    <xf numFmtId="1" fontId="2" fillId="0" borderId="21" xfId="0" applyNumberFormat="1" applyFont="1" applyBorder="1" applyAlignment="1">
      <alignment vertical="center"/>
    </xf>
    <xf numFmtId="165" fontId="4" fillId="0" borderId="99" xfId="0" applyNumberFormat="1" applyFont="1" applyBorder="1" applyAlignment="1" applyProtection="1">
      <alignment horizontal="center" vertical="center"/>
      <protection hidden="1"/>
    </xf>
    <xf numFmtId="165" fontId="2" fillId="0" borderId="17" xfId="0" applyNumberFormat="1" applyFont="1" applyBorder="1" applyAlignment="1" applyProtection="1">
      <alignment horizontal="center" vertical="center"/>
      <protection hidden="1"/>
    </xf>
    <xf numFmtId="165" fontId="4" fillId="0" borderId="29" xfId="0" applyNumberFormat="1" applyFont="1" applyBorder="1" applyAlignment="1" applyProtection="1">
      <alignment horizontal="center" vertical="center"/>
      <protection hidden="1"/>
    </xf>
    <xf numFmtId="165" fontId="2" fillId="0" borderId="117" xfId="0" applyNumberFormat="1" applyFont="1" applyBorder="1" applyAlignment="1" applyProtection="1">
      <alignment horizontal="center" vertical="center"/>
      <protection hidden="1"/>
    </xf>
    <xf numFmtId="165" fontId="4" fillId="0" borderId="33" xfId="0" quotePrefix="1" applyNumberFormat="1" applyFont="1" applyBorder="1" applyAlignment="1" applyProtection="1">
      <alignment horizontal="center" vertical="center"/>
      <protection locked="0" hidden="1"/>
    </xf>
    <xf numFmtId="165" fontId="4" fillId="0" borderId="74" xfId="0" quotePrefix="1" applyNumberFormat="1" applyFont="1" applyBorder="1" applyAlignment="1" applyProtection="1">
      <alignment horizontal="center" vertical="center"/>
      <protection hidden="1"/>
    </xf>
    <xf numFmtId="165" fontId="4" fillId="0" borderId="81" xfId="0" quotePrefix="1" applyNumberFormat="1" applyFont="1" applyBorder="1" applyAlignment="1" applyProtection="1">
      <alignment horizontal="center" vertical="center"/>
      <protection hidden="1"/>
    </xf>
    <xf numFmtId="165" fontId="4" fillId="0" borderId="88" xfId="0" quotePrefix="1" applyNumberFormat="1" applyFont="1" applyBorder="1" applyAlignment="1" applyProtection="1">
      <alignment horizontal="center" vertical="center" wrapText="1"/>
      <protection hidden="1"/>
    </xf>
    <xf numFmtId="165" fontId="4" fillId="0" borderId="89" xfId="0" quotePrefix="1" applyNumberFormat="1" applyFont="1" applyBorder="1" applyAlignment="1" applyProtection="1">
      <alignment horizontal="center" vertical="center"/>
      <protection hidden="1"/>
    </xf>
    <xf numFmtId="0" fontId="2" fillId="0" borderId="28" xfId="0" applyFont="1" applyBorder="1" applyAlignment="1">
      <alignment vertical="center"/>
    </xf>
    <xf numFmtId="165" fontId="4" fillId="0" borderId="84" xfId="0" quotePrefix="1" applyNumberFormat="1" applyFont="1" applyBorder="1" applyAlignment="1" applyProtection="1">
      <alignment horizontal="center" vertical="center" wrapText="1"/>
      <protection hidden="1"/>
    </xf>
    <xf numFmtId="165" fontId="4" fillId="0" borderId="85" xfId="0" quotePrefix="1" applyNumberFormat="1" applyFont="1" applyBorder="1" applyAlignment="1" applyProtection="1">
      <alignment horizontal="center" vertical="center"/>
      <protection hidden="1"/>
    </xf>
    <xf numFmtId="165" fontId="4" fillId="0" borderId="86" xfId="0" quotePrefix="1" applyNumberFormat="1" applyFont="1" applyBorder="1" applyAlignment="1" applyProtection="1">
      <alignment horizontal="center" vertical="center" wrapText="1"/>
      <protection hidden="1"/>
    </xf>
    <xf numFmtId="0" fontId="2" fillId="0" borderId="29" xfId="0" applyFont="1" applyBorder="1" applyAlignment="1">
      <alignment vertical="center"/>
    </xf>
    <xf numFmtId="165" fontId="4" fillId="0" borderId="86" xfId="0" applyNumberFormat="1" applyFont="1" applyBorder="1" applyAlignment="1" applyProtection="1">
      <alignment horizontal="center" vertical="center" wrapText="1"/>
      <protection hidden="1"/>
    </xf>
    <xf numFmtId="165" fontId="4" fillId="0" borderId="117" xfId="0" quotePrefix="1" applyNumberFormat="1" applyFont="1" applyBorder="1" applyAlignment="1" applyProtection="1">
      <alignment horizontal="center" vertical="center"/>
      <protection hidden="1"/>
    </xf>
    <xf numFmtId="1" fontId="4" fillId="0" borderId="139" xfId="0" applyNumberFormat="1" applyFont="1" applyBorder="1" applyAlignment="1" applyProtection="1">
      <alignment horizontal="center" vertical="center"/>
      <protection hidden="1"/>
    </xf>
    <xf numFmtId="1" fontId="4" fillId="0" borderId="140" xfId="0" applyNumberFormat="1" applyFont="1" applyBorder="1" applyAlignment="1" applyProtection="1">
      <alignment horizontal="center" vertical="center"/>
      <protection hidden="1"/>
    </xf>
    <xf numFmtId="165" fontId="4" fillId="0" borderId="140" xfId="0" applyNumberFormat="1" applyFont="1" applyBorder="1" applyAlignment="1" applyProtection="1">
      <alignment horizontal="center" vertical="center"/>
      <protection hidden="1"/>
    </xf>
    <xf numFmtId="1" fontId="4" fillId="0" borderId="49" xfId="0" applyNumberFormat="1" applyFont="1" applyBorder="1" applyAlignment="1">
      <alignment vertical="center"/>
    </xf>
    <xf numFmtId="1" fontId="0" fillId="0" borderId="21" xfId="0" applyNumberFormat="1" applyBorder="1" applyAlignment="1">
      <alignment horizontal="center" vertical="center"/>
    </xf>
    <xf numFmtId="1" fontId="4" fillId="0" borderId="44" xfId="0" applyNumberFormat="1" applyFont="1" applyBorder="1" applyAlignment="1">
      <alignment vertical="center"/>
    </xf>
    <xf numFmtId="1" fontId="4" fillId="0" borderId="47" xfId="0" applyNumberFormat="1" applyFont="1" applyBorder="1" applyAlignment="1">
      <alignment horizontal="center" vertical="center"/>
    </xf>
    <xf numFmtId="1" fontId="2" fillId="0" borderId="13" xfId="0" applyNumberFormat="1" applyFont="1" applyBorder="1" applyAlignment="1">
      <alignment horizontal="center" vertical="center"/>
    </xf>
    <xf numFmtId="1" fontId="2" fillId="0" borderId="6" xfId="0" applyNumberFormat="1" applyFont="1" applyBorder="1" applyAlignment="1">
      <alignment horizontal="center" vertical="center"/>
    </xf>
    <xf numFmtId="1" fontId="2" fillId="0" borderId="78" xfId="0" applyNumberFormat="1" applyFont="1" applyBorder="1" applyAlignment="1">
      <alignment horizontal="center" vertical="center"/>
    </xf>
    <xf numFmtId="165" fontId="2" fillId="0" borderId="77" xfId="0" applyNumberFormat="1" applyFont="1" applyBorder="1" applyAlignment="1">
      <alignment horizontal="center" vertical="center"/>
    </xf>
    <xf numFmtId="165" fontId="2" fillId="0" borderId="66" xfId="0" applyNumberFormat="1" applyFont="1" applyBorder="1" applyAlignment="1">
      <alignment horizontal="center" vertical="center"/>
    </xf>
    <xf numFmtId="1" fontId="2" fillId="0" borderId="49" xfId="0" applyNumberFormat="1" applyFont="1" applyBorder="1" applyAlignment="1">
      <alignment horizontal="center" vertical="center"/>
    </xf>
    <xf numFmtId="1" fontId="2" fillId="0" borderId="20" xfId="0" applyNumberFormat="1" applyFont="1" applyBorder="1" applyAlignment="1">
      <alignment horizontal="center" vertical="center"/>
    </xf>
    <xf numFmtId="1" fontId="2" fillId="0" borderId="58" xfId="0" applyNumberFormat="1" applyFont="1" applyBorder="1" applyAlignment="1">
      <alignment horizontal="center" vertical="center"/>
    </xf>
    <xf numFmtId="165" fontId="2" fillId="0" borderId="44" xfId="0" applyNumberFormat="1" applyFont="1" applyBorder="1" applyAlignment="1">
      <alignment vertical="center"/>
    </xf>
    <xf numFmtId="165" fontId="2" fillId="0" borderId="37" xfId="0" applyNumberFormat="1" applyFont="1" applyBorder="1" applyAlignment="1">
      <alignment horizontal="center" vertical="center"/>
    </xf>
    <xf numFmtId="165" fontId="2" fillId="0" borderId="22" xfId="0" applyNumberFormat="1" applyFont="1" applyBorder="1" applyAlignment="1">
      <alignment horizontal="center" vertical="center"/>
    </xf>
    <xf numFmtId="165" fontId="2" fillId="0" borderId="28" xfId="0" applyNumberFormat="1" applyFont="1" applyBorder="1" applyAlignment="1">
      <alignment horizontal="center" vertical="center"/>
    </xf>
    <xf numFmtId="1" fontId="2" fillId="0" borderId="21" xfId="0" applyNumberFormat="1" applyFont="1" applyBorder="1" applyAlignment="1" applyProtection="1">
      <alignment horizontal="center" vertical="center"/>
      <protection hidden="1"/>
    </xf>
    <xf numFmtId="1" fontId="2" fillId="0" borderId="29" xfId="0" applyNumberFormat="1" applyFont="1" applyBorder="1" applyAlignment="1" applyProtection="1">
      <alignment horizontal="center" vertical="center"/>
      <protection hidden="1"/>
    </xf>
    <xf numFmtId="1" fontId="2" fillId="0" borderId="59" xfId="0" applyNumberFormat="1" applyFont="1" applyBorder="1" applyAlignment="1">
      <alignment horizontal="center" vertical="center"/>
    </xf>
    <xf numFmtId="1" fontId="2" fillId="0" borderId="21" xfId="0" applyNumberFormat="1" applyFont="1" applyBorder="1" applyAlignment="1">
      <alignment horizontal="center" vertical="center"/>
    </xf>
    <xf numFmtId="1" fontId="2" fillId="0" borderId="29" xfId="0" applyNumberFormat="1" applyFont="1" applyBorder="1" applyAlignment="1">
      <alignment horizontal="center" vertical="center"/>
    </xf>
    <xf numFmtId="1" fontId="2" fillId="0" borderId="44" xfId="0" applyNumberFormat="1" applyFont="1" applyBorder="1" applyAlignment="1">
      <alignment horizontal="center" vertical="center"/>
    </xf>
    <xf numFmtId="1" fontId="2" fillId="0" borderId="22" xfId="0" applyNumberFormat="1" applyFont="1" applyBorder="1" applyAlignment="1">
      <alignment horizontal="center" vertical="center"/>
    </xf>
    <xf numFmtId="1" fontId="2" fillId="0" borderId="28" xfId="0" applyNumberFormat="1" applyFont="1" applyBorder="1" applyAlignment="1">
      <alignment horizontal="center" vertical="center"/>
    </xf>
    <xf numFmtId="1" fontId="2" fillId="0" borderId="37" xfId="0" applyNumberFormat="1" applyFont="1" applyBorder="1" applyAlignment="1" applyProtection="1">
      <alignment horizontal="center" vertical="center"/>
      <protection hidden="1"/>
    </xf>
    <xf numFmtId="1" fontId="2" fillId="0" borderId="37" xfId="0" applyNumberFormat="1" applyFont="1" applyBorder="1" applyAlignment="1">
      <alignment horizontal="center" vertical="center"/>
    </xf>
    <xf numFmtId="1" fontId="2" fillId="0" borderId="0" xfId="0" quotePrefix="1" applyNumberFormat="1" applyFont="1" applyAlignment="1">
      <alignment horizontal="center" vertical="center"/>
    </xf>
    <xf numFmtId="165" fontId="2" fillId="0" borderId="44" xfId="0" applyNumberFormat="1" applyFont="1" applyBorder="1" applyAlignment="1">
      <alignment horizontal="center" vertical="center"/>
    </xf>
    <xf numFmtId="165" fontId="2" fillId="0" borderId="44" xfId="0" applyNumberFormat="1" applyFont="1" applyBorder="1" applyAlignment="1">
      <alignment horizontal="left" vertical="center"/>
    </xf>
    <xf numFmtId="1" fontId="2" fillId="0" borderId="100" xfId="0" applyNumberFormat="1" applyFont="1" applyBorder="1" applyAlignment="1">
      <alignment horizontal="center" vertical="center"/>
    </xf>
    <xf numFmtId="1" fontId="2" fillId="0" borderId="66" xfId="0" applyNumberFormat="1" applyFont="1" applyBorder="1" applyAlignment="1">
      <alignment horizontal="center" vertical="center"/>
    </xf>
    <xf numFmtId="165" fontId="2" fillId="0" borderId="59" xfId="0" applyNumberFormat="1" applyFont="1" applyBorder="1" applyAlignment="1">
      <alignment horizontal="center" vertical="center"/>
    </xf>
    <xf numFmtId="165" fontId="2" fillId="0" borderId="100" xfId="0" applyNumberFormat="1" applyFont="1" applyBorder="1" applyAlignment="1">
      <alignment horizontal="center" vertical="center"/>
    </xf>
    <xf numFmtId="1" fontId="4" fillId="0" borderId="63" xfId="0" applyNumberFormat="1" applyFont="1" applyBorder="1" applyAlignment="1" applyProtection="1">
      <alignment vertical="center"/>
      <protection hidden="1"/>
    </xf>
    <xf numFmtId="1" fontId="2" fillId="0" borderId="56" xfId="0" applyNumberFormat="1" applyFont="1" applyBorder="1" applyAlignment="1">
      <alignment horizontal="center" vertical="center"/>
    </xf>
    <xf numFmtId="1" fontId="2" fillId="0" borderId="14" xfId="0" applyNumberFormat="1" applyFont="1" applyBorder="1" applyAlignment="1" applyProtection="1">
      <alignment horizontal="center" vertical="center"/>
      <protection hidden="1"/>
    </xf>
    <xf numFmtId="0" fontId="2" fillId="0" borderId="29" xfId="0" applyFont="1" applyBorder="1" applyAlignment="1" applyProtection="1">
      <alignment horizontal="left" vertical="center"/>
      <protection hidden="1"/>
    </xf>
    <xf numFmtId="1" fontId="2" fillId="0" borderId="71" xfId="0" applyNumberFormat="1" applyFont="1" applyBorder="1" applyAlignment="1">
      <alignment horizontal="center" vertical="center"/>
    </xf>
    <xf numFmtId="1" fontId="2" fillId="0" borderId="71" xfId="0" applyNumberFormat="1" applyFont="1" applyBorder="1" applyAlignment="1" applyProtection="1">
      <alignment horizontal="center" vertical="center"/>
      <protection hidden="1"/>
    </xf>
    <xf numFmtId="1" fontId="4" fillId="0" borderId="29" xfId="1540" applyNumberFormat="1" applyBorder="1" applyAlignment="1" applyProtection="1">
      <alignment vertical="center"/>
      <protection hidden="1"/>
    </xf>
    <xf numFmtId="0" fontId="2" fillId="0" borderId="63" xfId="1540" applyFont="1" applyBorder="1" applyAlignment="1" applyProtection="1">
      <alignment horizontal="left" vertical="center"/>
      <protection hidden="1"/>
    </xf>
    <xf numFmtId="0" fontId="4" fillId="0" borderId="28" xfId="1540" applyBorder="1" applyAlignment="1" applyProtection="1">
      <alignment horizontal="left" vertical="center"/>
      <protection hidden="1"/>
    </xf>
    <xf numFmtId="0" fontId="2" fillId="0" borderId="65" xfId="1540" applyFont="1" applyBorder="1" applyAlignment="1" applyProtection="1">
      <alignment horizontal="left" vertical="center"/>
      <protection hidden="1"/>
    </xf>
    <xf numFmtId="0" fontId="4" fillId="0" borderId="66" xfId="1540" applyBorder="1" applyAlignment="1" applyProtection="1">
      <alignment horizontal="left" vertical="center"/>
      <protection hidden="1"/>
    </xf>
    <xf numFmtId="1" fontId="2" fillId="0" borderId="57" xfId="0" applyNumberFormat="1" applyFont="1" applyBorder="1" applyAlignment="1">
      <alignment horizontal="center" vertical="center"/>
    </xf>
    <xf numFmtId="1" fontId="2" fillId="0" borderId="13" xfId="0" applyNumberFormat="1" applyFont="1" applyBorder="1" applyAlignment="1" applyProtection="1">
      <alignment horizontal="center" vertical="center"/>
      <protection hidden="1"/>
    </xf>
    <xf numFmtId="0" fontId="4" fillId="0" borderId="58" xfId="0" applyFont="1" applyBorder="1" applyAlignment="1">
      <alignment vertical="center"/>
    </xf>
    <xf numFmtId="1" fontId="2" fillId="0" borderId="63" xfId="0" applyNumberFormat="1" applyFont="1" applyBorder="1" applyAlignment="1" applyProtection="1">
      <alignment vertical="center"/>
      <protection hidden="1"/>
    </xf>
    <xf numFmtId="0" fontId="11" fillId="0" borderId="51" xfId="0" applyFont="1" applyBorder="1" applyAlignment="1" applyProtection="1">
      <alignment horizontal="right"/>
      <protection hidden="1"/>
    </xf>
    <xf numFmtId="0" fontId="4" fillId="0" borderId="143" xfId="0" applyFont="1" applyBorder="1" applyAlignment="1" applyProtection="1">
      <alignment horizontal="center" textRotation="90"/>
      <protection hidden="1"/>
    </xf>
    <xf numFmtId="0" fontId="2" fillId="0" borderId="54" xfId="0" applyFont="1" applyBorder="1" applyAlignment="1">
      <alignment horizontal="center" vertical="center" wrapText="1"/>
    </xf>
    <xf numFmtId="0" fontId="4" fillId="0" borderId="54" xfId="0" applyFont="1" applyBorder="1" applyAlignment="1" applyProtection="1">
      <alignment horizontal="center" vertical="center"/>
      <protection hidden="1"/>
    </xf>
    <xf numFmtId="1" fontId="4" fillId="0" borderId="54" xfId="0" applyNumberFormat="1" applyFont="1" applyBorder="1" applyAlignment="1" applyProtection="1">
      <alignment horizontal="center" vertical="center"/>
      <protection hidden="1"/>
    </xf>
    <xf numFmtId="0" fontId="4" fillId="0" borderId="142" xfId="0" applyFont="1" applyBorder="1" applyAlignment="1" applyProtection="1">
      <alignment horizontal="center" vertical="center"/>
      <protection hidden="1"/>
    </xf>
    <xf numFmtId="0" fontId="2" fillId="0" borderId="73" xfId="0" quotePrefix="1" applyFont="1" applyBorder="1" applyAlignment="1" applyProtection="1">
      <alignment horizontal="center" vertical="center"/>
      <protection hidden="1"/>
    </xf>
    <xf numFmtId="0" fontId="2" fillId="0" borderId="104" xfId="0" applyFont="1" applyBorder="1" applyProtection="1">
      <protection locked="0" hidden="1"/>
    </xf>
    <xf numFmtId="0" fontId="2" fillId="0" borderId="40" xfId="0" applyFont="1" applyBorder="1" applyProtection="1">
      <protection locked="0" hidden="1"/>
    </xf>
    <xf numFmtId="0" fontId="2" fillId="0" borderId="127" xfId="0" applyFont="1" applyBorder="1" applyProtection="1">
      <protection locked="0" hidden="1"/>
    </xf>
    <xf numFmtId="16" fontId="5" fillId="0" borderId="0" xfId="0" applyNumberFormat="1" applyFont="1"/>
    <xf numFmtId="165" fontId="2" fillId="0" borderId="57" xfId="0" quotePrefix="1" applyNumberFormat="1" applyFont="1" applyBorder="1" applyAlignment="1">
      <alignment horizontal="center" vertical="center"/>
    </xf>
    <xf numFmtId="165" fontId="2" fillId="0" borderId="77" xfId="0" quotePrefix="1" applyNumberFormat="1" applyFont="1" applyBorder="1" applyAlignment="1">
      <alignment horizontal="center" vertical="center"/>
    </xf>
    <xf numFmtId="165" fontId="2" fillId="0" borderId="35" xfId="0" applyNumberFormat="1" applyFont="1" applyBorder="1" applyAlignment="1">
      <alignment horizontal="center" vertical="center"/>
    </xf>
    <xf numFmtId="165" fontId="2" fillId="0" borderId="82" xfId="0" quotePrefix="1" applyNumberFormat="1" applyFont="1" applyBorder="1" applyAlignment="1" applyProtection="1">
      <alignment horizontal="center" vertical="center"/>
      <protection hidden="1"/>
    </xf>
    <xf numFmtId="0" fontId="4" fillId="0" borderId="55" xfId="0" applyFont="1" applyBorder="1" applyAlignment="1" applyProtection="1">
      <alignment horizontal="center" vertical="center"/>
      <protection hidden="1"/>
    </xf>
    <xf numFmtId="0" fontId="5" fillId="0" borderId="11" xfId="1540" applyFont="1" applyBorder="1" applyAlignment="1" applyProtection="1">
      <alignment vertical="center"/>
      <protection hidden="1"/>
    </xf>
    <xf numFmtId="165" fontId="0" fillId="0" borderId="0" xfId="0" applyNumberFormat="1" applyAlignment="1">
      <alignment horizontal="left" vertical="center"/>
    </xf>
    <xf numFmtId="165" fontId="0" fillId="0" borderId="0" xfId="0" applyNumberFormat="1" applyAlignment="1">
      <alignment horizontal="left"/>
    </xf>
    <xf numFmtId="165" fontId="0" fillId="0" borderId="0" xfId="0" applyNumberFormat="1"/>
    <xf numFmtId="165" fontId="2" fillId="0" borderId="0" xfId="0" applyNumberFormat="1" applyFont="1"/>
    <xf numFmtId="1" fontId="0" fillId="0" borderId="0" xfId="0" applyNumberFormat="1" applyAlignment="1">
      <alignment horizontal="left" vertical="center"/>
    </xf>
    <xf numFmtId="1" fontId="2" fillId="0" borderId="14" xfId="0" applyNumberFormat="1" applyFont="1" applyBorder="1" applyAlignment="1" applyProtection="1">
      <alignment horizontal="center"/>
      <protection hidden="1"/>
    </xf>
    <xf numFmtId="1" fontId="2" fillId="0" borderId="48" xfId="0" applyNumberFormat="1" applyFont="1" applyBorder="1"/>
    <xf numFmtId="1" fontId="4" fillId="0" borderId="19" xfId="0" applyNumberFormat="1" applyFont="1" applyBorder="1" applyAlignment="1" applyProtection="1">
      <alignment horizontal="center"/>
      <protection hidden="1"/>
    </xf>
    <xf numFmtId="1" fontId="4" fillId="0" borderId="0" xfId="0" applyNumberFormat="1" applyFont="1" applyAlignment="1" applyProtection="1">
      <alignment horizontal="center"/>
      <protection hidden="1"/>
    </xf>
    <xf numFmtId="1" fontId="2" fillId="0" borderId="103" xfId="0" applyNumberFormat="1" applyFont="1" applyBorder="1" applyAlignment="1" applyProtection="1">
      <alignment vertical="center"/>
      <protection hidden="1"/>
    </xf>
    <xf numFmtId="1" fontId="4" fillId="0" borderId="93" xfId="0" applyNumberFormat="1" applyFont="1" applyBorder="1" applyAlignment="1" applyProtection="1">
      <alignment horizontal="center" vertical="center"/>
      <protection hidden="1"/>
    </xf>
    <xf numFmtId="1" fontId="4" fillId="0" borderId="15" xfId="0" applyNumberFormat="1" applyFont="1" applyBorder="1" applyAlignment="1" applyProtection="1">
      <alignment horizontal="center"/>
      <protection hidden="1"/>
    </xf>
    <xf numFmtId="1" fontId="0" fillId="0" borderId="0" xfId="0" applyNumberFormat="1"/>
    <xf numFmtId="0" fontId="2" fillId="0" borderId="29" xfId="0" quotePrefix="1" applyFont="1" applyBorder="1" applyAlignment="1">
      <alignment horizontal="center" vertical="center"/>
    </xf>
    <xf numFmtId="0" fontId="2" fillId="0" borderId="71" xfId="0" applyFont="1" applyBorder="1" applyAlignment="1" applyProtection="1">
      <alignment horizontal="center" vertical="center"/>
      <protection hidden="1"/>
    </xf>
    <xf numFmtId="165" fontId="2" fillId="0" borderId="0" xfId="0" applyNumberFormat="1" applyFont="1" applyAlignment="1">
      <alignment horizontal="center"/>
    </xf>
    <xf numFmtId="165" fontId="2" fillId="0" borderId="22" xfId="0" applyNumberFormat="1" applyFont="1" applyBorder="1" applyAlignment="1" applyProtection="1">
      <alignment horizontal="left" vertical="center"/>
      <protection locked="0" hidden="1"/>
    </xf>
    <xf numFmtId="0" fontId="2" fillId="0" borderId="58" xfId="0" quotePrefix="1" applyFont="1" applyBorder="1" applyAlignment="1">
      <alignment horizontal="center" vertical="center"/>
    </xf>
    <xf numFmtId="0" fontId="2" fillId="0" borderId="28" xfId="0" quotePrefix="1" applyFont="1" applyBorder="1" applyAlignment="1">
      <alignment horizontal="center" vertical="center"/>
    </xf>
    <xf numFmtId="1" fontId="2" fillId="25" borderId="58" xfId="0" applyNumberFormat="1" applyFont="1" applyFill="1" applyBorder="1" applyAlignment="1">
      <alignment horizontal="center" vertical="center"/>
    </xf>
    <xf numFmtId="1" fontId="2" fillId="25" borderId="29" xfId="0" applyNumberFormat="1" applyFont="1" applyFill="1" applyBorder="1" applyAlignment="1" applyProtection="1">
      <alignment horizontal="center" vertical="center"/>
      <protection hidden="1"/>
    </xf>
    <xf numFmtId="165" fontId="2" fillId="25" borderId="29" xfId="0" applyNumberFormat="1" applyFont="1" applyFill="1" applyBorder="1" applyAlignment="1">
      <alignment horizontal="center" vertical="center"/>
    </xf>
    <xf numFmtId="1" fontId="2" fillId="25" borderId="28" xfId="0" applyNumberFormat="1" applyFont="1" applyFill="1" applyBorder="1" applyAlignment="1">
      <alignment horizontal="center" vertical="center"/>
    </xf>
    <xf numFmtId="165" fontId="2" fillId="26" borderId="28" xfId="0" applyNumberFormat="1" applyFont="1" applyFill="1" applyBorder="1" applyAlignment="1">
      <alignment horizontal="center" vertical="center"/>
    </xf>
    <xf numFmtId="0" fontId="2" fillId="0" borderId="97" xfId="0" quotePrefix="1" applyFont="1" applyBorder="1" applyAlignment="1" applyProtection="1">
      <alignment horizontal="center" vertical="center"/>
      <protection hidden="1"/>
    </xf>
    <xf numFmtId="0" fontId="2" fillId="0" borderId="98" xfId="0" quotePrefix="1" applyFont="1" applyBorder="1" applyAlignment="1" applyProtection="1">
      <alignment horizontal="center" vertical="center"/>
      <protection hidden="1"/>
    </xf>
    <xf numFmtId="0" fontId="2" fillId="0" borderId="99" xfId="0" quotePrefix="1" applyFont="1" applyBorder="1" applyAlignment="1" applyProtection="1">
      <alignment horizontal="center" vertical="center"/>
      <protection hidden="1"/>
    </xf>
    <xf numFmtId="0" fontId="2" fillId="0" borderId="126" xfId="0" applyFont="1" applyBorder="1" applyAlignment="1">
      <alignment horizontal="center" vertical="center" wrapText="1"/>
    </xf>
    <xf numFmtId="0" fontId="2" fillId="0" borderId="17" xfId="0" applyFont="1" applyBorder="1" applyAlignment="1" applyProtection="1">
      <alignment horizontal="center" vertical="center"/>
      <protection locked="0" hidden="1"/>
    </xf>
    <xf numFmtId="0" fontId="29" fillId="0" borderId="8" xfId="0" applyFont="1" applyBorder="1" applyAlignment="1">
      <alignment horizontal="center" textRotation="90"/>
    </xf>
    <xf numFmtId="0" fontId="5" fillId="0" borderId="40" xfId="0" applyFont="1" applyBorder="1" applyAlignment="1">
      <alignment horizontal="center" textRotation="90" wrapText="1"/>
    </xf>
    <xf numFmtId="0" fontId="5" fillId="0" borderId="34" xfId="0" quotePrefix="1" applyFont="1" applyBorder="1" applyAlignment="1" applyProtection="1">
      <alignment horizontal="center" vertical="center"/>
      <protection locked="0" hidden="1"/>
    </xf>
    <xf numFmtId="0" fontId="46" fillId="0" borderId="0" xfId="0" applyFont="1"/>
    <xf numFmtId="0" fontId="46" fillId="0" borderId="0" xfId="0" applyFont="1" applyAlignment="1" applyProtection="1">
      <alignment horizontal="center"/>
      <protection hidden="1"/>
    </xf>
    <xf numFmtId="1" fontId="46" fillId="0" borderId="0" xfId="0" applyNumberFormat="1" applyFont="1"/>
    <xf numFmtId="0" fontId="48" fillId="0" borderId="0" xfId="0" applyFont="1" applyProtection="1">
      <protection hidden="1"/>
    </xf>
    <xf numFmtId="0" fontId="46" fillId="0" borderId="55" xfId="0" applyFont="1" applyBorder="1" applyAlignment="1" applyProtection="1">
      <alignment horizontal="center" vertical="center"/>
      <protection hidden="1"/>
    </xf>
    <xf numFmtId="0" fontId="48" fillId="0" borderId="0" xfId="0" applyFont="1" applyAlignment="1" applyProtection="1">
      <alignment horizontal="center"/>
      <protection locked="0" hidden="1"/>
    </xf>
    <xf numFmtId="0" fontId="46" fillId="0" borderId="55" xfId="0" applyFont="1" applyBorder="1" applyAlignment="1">
      <alignment horizontal="center"/>
    </xf>
    <xf numFmtId="0" fontId="46" fillId="0" borderId="0" xfId="0" applyFont="1" applyAlignment="1">
      <alignment horizontal="center"/>
    </xf>
    <xf numFmtId="165" fontId="46" fillId="0" borderId="0" xfId="0" applyNumberFormat="1" applyFont="1" applyAlignment="1">
      <alignment horizontal="center"/>
    </xf>
    <xf numFmtId="0" fontId="48" fillId="0" borderId="0" xfId="0" applyFont="1" applyAlignment="1">
      <alignment horizontal="center"/>
    </xf>
    <xf numFmtId="0" fontId="46" fillId="0" borderId="40" xfId="0" applyFont="1" applyBorder="1" applyProtection="1">
      <protection locked="0" hidden="1"/>
    </xf>
    <xf numFmtId="16" fontId="46" fillId="0" borderId="0" xfId="1728" applyNumberFormat="1" applyFont="1" applyAlignment="1">
      <alignment horizontal="center"/>
    </xf>
    <xf numFmtId="0" fontId="47" fillId="0" borderId="0" xfId="0" applyFont="1" applyAlignment="1" applyProtection="1">
      <alignment horizontal="center" textRotation="90" wrapText="1"/>
      <protection hidden="1"/>
    </xf>
    <xf numFmtId="0" fontId="47" fillId="0" borderId="0" xfId="0" applyFont="1" applyAlignment="1" applyProtection="1">
      <alignment horizontal="center" textRotation="90"/>
      <protection hidden="1"/>
    </xf>
    <xf numFmtId="0" fontId="46" fillId="0" borderId="0" xfId="0" applyFont="1" applyAlignment="1" applyProtection="1">
      <alignment horizontal="center" textRotation="90" wrapText="1"/>
      <protection hidden="1"/>
    </xf>
    <xf numFmtId="0" fontId="2" fillId="0" borderId="145" xfId="0" applyFont="1" applyBorder="1" applyAlignment="1" applyProtection="1">
      <alignment horizontal="center" textRotation="90" shrinkToFit="1"/>
      <protection hidden="1"/>
    </xf>
    <xf numFmtId="0" fontId="5" fillId="27" borderId="36" xfId="0" applyFont="1" applyFill="1" applyBorder="1" applyAlignment="1" applyProtection="1">
      <alignment vertical="center"/>
      <protection hidden="1"/>
    </xf>
    <xf numFmtId="0" fontId="5" fillId="27" borderId="34" xfId="0" applyFont="1" applyFill="1" applyBorder="1" applyAlignment="1" applyProtection="1">
      <alignment vertical="center"/>
      <protection hidden="1"/>
    </xf>
    <xf numFmtId="0" fontId="2" fillId="27" borderId="34" xfId="0" applyFont="1" applyFill="1" applyBorder="1" applyAlignment="1" applyProtection="1">
      <alignment vertical="center"/>
      <protection hidden="1"/>
    </xf>
    <xf numFmtId="0" fontId="2" fillId="27" borderId="118" xfId="0" applyFont="1" applyFill="1" applyBorder="1" applyAlignment="1" applyProtection="1">
      <alignment horizontal="center" vertical="center"/>
      <protection hidden="1"/>
    </xf>
    <xf numFmtId="0" fontId="2" fillId="27" borderId="13" xfId="0" applyFont="1" applyFill="1" applyBorder="1" applyAlignment="1" applyProtection="1">
      <alignment horizontal="center" vertical="center"/>
      <protection hidden="1"/>
    </xf>
    <xf numFmtId="0" fontId="2" fillId="27" borderId="57" xfId="0" applyFont="1" applyFill="1" applyBorder="1" applyAlignment="1" applyProtection="1">
      <alignment horizontal="center" vertical="center"/>
      <protection hidden="1"/>
    </xf>
    <xf numFmtId="0" fontId="2" fillId="0" borderId="146" xfId="0" applyFont="1" applyBorder="1" applyAlignment="1" applyProtection="1">
      <alignment horizontal="center" textRotation="90" shrinkToFit="1"/>
      <protection hidden="1"/>
    </xf>
    <xf numFmtId="1" fontId="2" fillId="27" borderId="30" xfId="0" applyNumberFormat="1" applyFont="1" applyFill="1" applyBorder="1" applyAlignment="1" applyProtection="1">
      <alignment vertical="center"/>
      <protection hidden="1"/>
    </xf>
    <xf numFmtId="1" fontId="2" fillId="27" borderId="34" xfId="0" applyNumberFormat="1" applyFont="1" applyFill="1" applyBorder="1" applyAlignment="1" applyProtection="1">
      <alignment vertical="center"/>
      <protection hidden="1"/>
    </xf>
    <xf numFmtId="0" fontId="5" fillId="27" borderId="36" xfId="0" applyFont="1" applyFill="1" applyBorder="1" applyAlignment="1" applyProtection="1">
      <alignment horizontal="left" vertical="center"/>
      <protection hidden="1"/>
    </xf>
    <xf numFmtId="0" fontId="5" fillId="27" borderId="34" xfId="0" applyFont="1" applyFill="1" applyBorder="1" applyAlignment="1" applyProtection="1">
      <alignment horizontal="center" vertical="center"/>
      <protection hidden="1"/>
    </xf>
    <xf numFmtId="0" fontId="2" fillId="27" borderId="34" xfId="0" applyFont="1" applyFill="1" applyBorder="1" applyAlignment="1" applyProtection="1">
      <alignment horizontal="center" vertical="center"/>
      <protection hidden="1"/>
    </xf>
    <xf numFmtId="0" fontId="2" fillId="27" borderId="118" xfId="1540" applyFont="1" applyFill="1" applyBorder="1" applyAlignment="1" applyProtection="1">
      <alignment horizontal="center" vertical="center"/>
      <protection hidden="1"/>
    </xf>
    <xf numFmtId="0" fontId="2" fillId="27" borderId="13" xfId="1540" applyFont="1" applyFill="1" applyBorder="1" applyAlignment="1" applyProtection="1">
      <alignment horizontal="center" vertical="center"/>
      <protection hidden="1"/>
    </xf>
    <xf numFmtId="0" fontId="2" fillId="27" borderId="57" xfId="1540" applyFont="1" applyFill="1" applyBorder="1" applyAlignment="1" applyProtection="1">
      <alignment horizontal="center" vertical="center"/>
      <protection hidden="1"/>
    </xf>
    <xf numFmtId="0" fontId="5" fillId="27" borderId="147" xfId="0" applyFont="1" applyFill="1" applyBorder="1" applyAlignment="1" applyProtection="1">
      <alignment vertical="center"/>
      <protection hidden="1"/>
    </xf>
    <xf numFmtId="0" fontId="2" fillId="27" borderId="148" xfId="0" applyFont="1" applyFill="1" applyBorder="1" applyAlignment="1" applyProtection="1">
      <alignment horizontal="center" vertical="center"/>
      <protection hidden="1"/>
    </xf>
    <xf numFmtId="0" fontId="2" fillId="27" borderId="148" xfId="1540" applyFont="1" applyFill="1" applyBorder="1" applyAlignment="1" applyProtection="1">
      <alignment horizontal="center" vertical="center"/>
      <protection hidden="1"/>
    </xf>
    <xf numFmtId="0" fontId="2" fillId="27" borderId="147" xfId="0" applyFont="1" applyFill="1" applyBorder="1" applyAlignment="1" applyProtection="1">
      <alignment horizontal="center" vertical="center"/>
      <protection hidden="1"/>
    </xf>
    <xf numFmtId="0" fontId="2" fillId="0" borderId="54" xfId="0" applyFont="1" applyBorder="1" applyAlignment="1" applyProtection="1">
      <alignment horizontal="center" vertical="center" wrapText="1"/>
      <protection hidden="1"/>
    </xf>
    <xf numFmtId="0" fontId="2" fillId="0" borderId="17" xfId="0" applyFont="1" applyBorder="1" applyAlignment="1" applyProtection="1">
      <alignment horizontal="center" vertical="center" wrapText="1"/>
      <protection hidden="1"/>
    </xf>
    <xf numFmtId="0" fontId="2" fillId="0" borderId="35" xfId="0" applyFont="1" applyBorder="1" applyAlignment="1" applyProtection="1">
      <alignment horizontal="center" vertical="center" wrapText="1"/>
      <protection hidden="1"/>
    </xf>
    <xf numFmtId="0" fontId="2" fillId="0" borderId="147" xfId="0" applyFont="1" applyBorder="1" applyAlignment="1" applyProtection="1">
      <alignment horizontal="center" vertical="center" wrapText="1"/>
      <protection hidden="1"/>
    </xf>
    <xf numFmtId="1" fontId="2" fillId="0" borderId="54" xfId="0" applyNumberFormat="1" applyFont="1" applyBorder="1" applyAlignment="1" applyProtection="1">
      <alignment horizontal="center" vertical="center"/>
      <protection hidden="1"/>
    </xf>
    <xf numFmtId="1" fontId="2" fillId="0" borderId="35" xfId="0" applyNumberFormat="1" applyFont="1" applyBorder="1" applyAlignment="1" applyProtection="1">
      <alignment horizontal="center" vertical="center"/>
      <protection hidden="1"/>
    </xf>
    <xf numFmtId="1" fontId="2" fillId="0" borderId="147" xfId="0" applyNumberFormat="1" applyFont="1" applyBorder="1" applyAlignment="1" applyProtection="1">
      <alignment horizontal="center" vertical="center"/>
      <protection hidden="1"/>
    </xf>
    <xf numFmtId="1" fontId="2" fillId="0" borderId="90" xfId="1540" applyNumberFormat="1" applyFont="1" applyBorder="1" applyAlignment="1" applyProtection="1">
      <alignment horizontal="center" vertical="center"/>
      <protection hidden="1"/>
    </xf>
    <xf numFmtId="1" fontId="2" fillId="0" borderId="14" xfId="1540" applyNumberFormat="1" applyFont="1" applyBorder="1" applyAlignment="1" applyProtection="1">
      <alignment horizontal="center" vertical="center"/>
      <protection hidden="1"/>
    </xf>
    <xf numFmtId="1" fontId="2" fillId="0" borderId="56" xfId="1540" applyNumberFormat="1" applyFont="1" applyBorder="1" applyAlignment="1" applyProtection="1">
      <alignment horizontal="center" vertical="center"/>
      <protection hidden="1"/>
    </xf>
    <xf numFmtId="1" fontId="2" fillId="0" borderId="149" xfId="1540" applyNumberFormat="1" applyFont="1" applyBorder="1" applyAlignment="1" applyProtection="1">
      <alignment horizontal="center" vertical="center"/>
      <protection hidden="1"/>
    </xf>
    <xf numFmtId="1" fontId="2" fillId="0" borderId="140" xfId="1540" applyNumberFormat="1" applyFont="1" applyBorder="1" applyAlignment="1" applyProtection="1">
      <alignment horizontal="center" vertical="center"/>
      <protection hidden="1"/>
    </xf>
    <xf numFmtId="1" fontId="2" fillId="0" borderId="6" xfId="1540" applyNumberFormat="1" applyFont="1" applyBorder="1" applyAlignment="1" applyProtection="1">
      <alignment horizontal="center" vertical="center"/>
      <protection hidden="1"/>
    </xf>
    <xf numFmtId="1" fontId="2" fillId="0" borderId="71" xfId="1540" applyNumberFormat="1" applyFont="1" applyBorder="1" applyAlignment="1" applyProtection="1">
      <alignment horizontal="center" vertical="center"/>
      <protection hidden="1"/>
    </xf>
    <xf numFmtId="1" fontId="2" fillId="0" borderId="150" xfId="1540" applyNumberFormat="1" applyFont="1" applyBorder="1" applyAlignment="1" applyProtection="1">
      <alignment horizontal="center" vertical="center"/>
      <protection hidden="1"/>
    </xf>
    <xf numFmtId="0" fontId="2" fillId="0" borderId="147" xfId="0" applyFont="1" applyBorder="1" applyAlignment="1" applyProtection="1">
      <alignment horizontal="center" vertical="center"/>
      <protection hidden="1"/>
    </xf>
    <xf numFmtId="1" fontId="2" fillId="0" borderId="90" xfId="0" applyNumberFormat="1" applyFont="1" applyBorder="1" applyAlignment="1">
      <alignment horizontal="center" vertical="center"/>
    </xf>
    <xf numFmtId="1" fontId="2" fillId="0" borderId="149" xfId="0" applyNumberFormat="1" applyFont="1" applyBorder="1" applyAlignment="1" applyProtection="1">
      <alignment horizontal="center" vertical="center"/>
      <protection hidden="1"/>
    </xf>
    <xf numFmtId="1" fontId="2" fillId="0" borderId="140" xfId="0" applyNumberFormat="1" applyFont="1" applyBorder="1" applyAlignment="1">
      <alignment horizontal="center" vertical="center"/>
    </xf>
    <xf numFmtId="1" fontId="2" fillId="0" borderId="150" xfId="0" applyNumberFormat="1" applyFont="1" applyBorder="1" applyAlignment="1" applyProtection="1">
      <alignment horizontal="center" vertical="center"/>
      <protection hidden="1"/>
    </xf>
    <xf numFmtId="1" fontId="2" fillId="0" borderId="102" xfId="1540" applyNumberFormat="1" applyFont="1" applyBorder="1" applyAlignment="1" applyProtection="1">
      <alignment horizontal="center" vertical="center"/>
      <protection hidden="1"/>
    </xf>
    <xf numFmtId="1" fontId="2" fillId="0" borderId="78" xfId="1540" applyNumberFormat="1" applyFont="1" applyBorder="1" applyAlignment="1" applyProtection="1">
      <alignment horizontal="center" vertical="center"/>
      <protection hidden="1"/>
    </xf>
    <xf numFmtId="1" fontId="2" fillId="0" borderId="77" xfId="1540" applyNumberFormat="1" applyFont="1" applyBorder="1" applyAlignment="1" applyProtection="1">
      <alignment horizontal="center" vertical="center"/>
      <protection hidden="1"/>
    </xf>
    <xf numFmtId="1" fontId="2" fillId="0" borderId="151" xfId="1540" applyNumberFormat="1" applyFont="1" applyBorder="1" applyAlignment="1" applyProtection="1">
      <alignment horizontal="center" vertical="center"/>
      <protection hidden="1"/>
    </xf>
    <xf numFmtId="1" fontId="2" fillId="0" borderId="118" xfId="0" applyNumberFormat="1" applyFont="1" applyBorder="1" applyAlignment="1">
      <alignment horizontal="center" vertical="center"/>
    </xf>
    <xf numFmtId="1" fontId="2" fillId="0" borderId="148" xfId="0" applyNumberFormat="1" applyFont="1" applyBorder="1" applyAlignment="1" applyProtection="1">
      <alignment horizontal="center" vertical="center"/>
      <protection hidden="1"/>
    </xf>
    <xf numFmtId="0" fontId="2" fillId="0" borderId="54" xfId="0" applyFont="1" applyBorder="1" applyAlignment="1" applyProtection="1">
      <alignment horizontal="center" vertical="center"/>
      <protection hidden="1"/>
    </xf>
    <xf numFmtId="0" fontId="2" fillId="0" borderId="35" xfId="0" applyFont="1" applyBorder="1" applyAlignment="1" applyProtection="1">
      <alignment horizontal="center" vertical="center"/>
      <protection hidden="1"/>
    </xf>
    <xf numFmtId="0" fontId="2" fillId="0" borderId="141" xfId="0" applyFont="1" applyBorder="1" applyAlignment="1" applyProtection="1">
      <alignment horizontal="center" vertical="center"/>
      <protection hidden="1"/>
    </xf>
    <xf numFmtId="0" fontId="2" fillId="0" borderId="15" xfId="0" applyFont="1" applyBorder="1" applyAlignment="1" applyProtection="1">
      <alignment horizontal="center" vertical="center"/>
      <protection hidden="1"/>
    </xf>
    <xf numFmtId="0" fontId="2" fillId="0" borderId="7" xfId="0" applyFont="1" applyBorder="1" applyAlignment="1" applyProtection="1">
      <alignment horizontal="center" vertical="center"/>
      <protection hidden="1"/>
    </xf>
    <xf numFmtId="0" fontId="2" fillId="0" borderId="152" xfId="0" applyFont="1" applyBorder="1" applyAlignment="1" applyProtection="1">
      <alignment horizontal="center" vertical="center"/>
      <protection hidden="1"/>
    </xf>
    <xf numFmtId="0" fontId="2" fillId="0" borderId="142" xfId="0" applyFont="1" applyBorder="1" applyAlignment="1" applyProtection="1">
      <alignment horizontal="center" vertical="center"/>
      <protection hidden="1"/>
    </xf>
    <xf numFmtId="0" fontId="2" fillId="0" borderId="95" xfId="0" applyFont="1" applyBorder="1" applyAlignment="1" applyProtection="1">
      <alignment horizontal="center" vertical="center"/>
      <protection hidden="1"/>
    </xf>
    <xf numFmtId="0" fontId="2" fillId="0" borderId="94" xfId="0" applyFont="1" applyBorder="1" applyAlignment="1" applyProtection="1">
      <alignment horizontal="center" vertical="center"/>
      <protection hidden="1"/>
    </xf>
    <xf numFmtId="0" fontId="2" fillId="0" borderId="153" xfId="0" applyFont="1" applyBorder="1" applyAlignment="1" applyProtection="1">
      <alignment horizontal="center" vertical="center"/>
      <protection hidden="1"/>
    </xf>
    <xf numFmtId="1" fontId="4" fillId="0" borderId="52" xfId="0" applyNumberFormat="1" applyFont="1" applyBorder="1" applyAlignment="1" applyProtection="1">
      <alignment horizontal="center" vertical="center"/>
      <protection hidden="1"/>
    </xf>
    <xf numFmtId="0" fontId="4" fillId="0" borderId="132" xfId="0" applyFont="1" applyBorder="1" applyAlignment="1" applyProtection="1">
      <alignment horizontal="center" vertical="center"/>
      <protection hidden="1"/>
    </xf>
    <xf numFmtId="0" fontId="5" fillId="27" borderId="47" xfId="0" quotePrefix="1" applyFont="1" applyFill="1" applyBorder="1" applyAlignment="1" applyProtection="1">
      <alignment horizontal="center" vertical="center"/>
      <protection locked="0" hidden="1"/>
    </xf>
    <xf numFmtId="0" fontId="4" fillId="27" borderId="27" xfId="0" applyFont="1" applyFill="1" applyBorder="1" applyAlignment="1" applyProtection="1">
      <alignment horizontal="center"/>
      <protection hidden="1"/>
    </xf>
    <xf numFmtId="0" fontId="2" fillId="27" borderId="34" xfId="0" applyFont="1" applyFill="1" applyBorder="1" applyAlignment="1" applyProtection="1">
      <alignment horizontal="center"/>
      <protection hidden="1"/>
    </xf>
    <xf numFmtId="0" fontId="2" fillId="27" borderId="106" xfId="0" applyFont="1" applyFill="1" applyBorder="1" applyAlignment="1" applyProtection="1">
      <alignment horizontal="center"/>
      <protection hidden="1"/>
    </xf>
    <xf numFmtId="0" fontId="2" fillId="27" borderId="73" xfId="0" applyFont="1" applyFill="1" applyBorder="1" applyAlignment="1" applyProtection="1">
      <alignment horizontal="center"/>
      <protection hidden="1"/>
    </xf>
    <xf numFmtId="0" fontId="4" fillId="27" borderId="47" xfId="0" applyFont="1" applyFill="1" applyBorder="1" applyAlignment="1" applyProtection="1">
      <alignment horizontal="center" vertical="center"/>
      <protection hidden="1"/>
    </xf>
    <xf numFmtId="0" fontId="5" fillId="27" borderId="19" xfId="0" quotePrefix="1" applyFont="1" applyFill="1" applyBorder="1" applyAlignment="1" applyProtection="1">
      <alignment horizontal="center" vertical="center"/>
      <protection locked="0" hidden="1"/>
    </xf>
    <xf numFmtId="0" fontId="2" fillId="27" borderId="0" xfId="0" applyFont="1" applyFill="1" applyAlignment="1" applyProtection="1">
      <alignment horizontal="center" vertical="center"/>
      <protection hidden="1"/>
    </xf>
    <xf numFmtId="0" fontId="5" fillId="27" borderId="0" xfId="0" applyFont="1" applyFill="1" applyAlignment="1" applyProtection="1">
      <alignment horizontal="center" vertical="center"/>
      <protection hidden="1"/>
    </xf>
    <xf numFmtId="0" fontId="2" fillId="27" borderId="144" xfId="0" applyFont="1" applyFill="1" applyBorder="1" applyAlignment="1" applyProtection="1">
      <alignment horizontal="center" vertical="center"/>
      <protection hidden="1"/>
    </xf>
    <xf numFmtId="0" fontId="5" fillId="27" borderId="134" xfId="0" applyFont="1" applyFill="1" applyBorder="1" applyAlignment="1" applyProtection="1">
      <alignment horizontal="center" vertical="center"/>
      <protection hidden="1"/>
    </xf>
    <xf numFmtId="1" fontId="4" fillId="27" borderId="12" xfId="0" applyNumberFormat="1" applyFont="1" applyFill="1" applyBorder="1" applyAlignment="1" applyProtection="1">
      <alignment horizontal="center" vertical="center"/>
      <protection hidden="1"/>
    </xf>
    <xf numFmtId="166" fontId="4" fillId="27" borderId="27" xfId="0" applyNumberFormat="1" applyFont="1" applyFill="1" applyBorder="1" applyAlignment="1" applyProtection="1">
      <alignment horizontal="center" vertical="center"/>
      <protection hidden="1"/>
    </xf>
    <xf numFmtId="1" fontId="2" fillId="27" borderId="26" xfId="0" applyNumberFormat="1" applyFont="1" applyFill="1" applyBorder="1" applyAlignment="1" applyProtection="1">
      <alignment horizontal="center" vertical="center"/>
      <protection hidden="1"/>
    </xf>
    <xf numFmtId="1" fontId="4" fillId="27" borderId="17" xfId="0" applyNumberFormat="1" applyFont="1" applyFill="1" applyBorder="1" applyAlignment="1" applyProtection="1">
      <alignment horizontal="center" vertical="center"/>
      <protection hidden="1"/>
    </xf>
    <xf numFmtId="1" fontId="4" fillId="27" borderId="52" xfId="0" applyNumberFormat="1" applyFont="1" applyFill="1" applyBorder="1" applyAlignment="1" applyProtection="1">
      <alignment horizontal="center" vertical="center"/>
      <protection hidden="1"/>
    </xf>
    <xf numFmtId="1" fontId="4" fillId="27" borderId="27" xfId="0" applyNumberFormat="1" applyFont="1" applyFill="1" applyBorder="1" applyAlignment="1" applyProtection="1">
      <alignment horizontal="center" vertical="center"/>
      <protection hidden="1"/>
    </xf>
    <xf numFmtId="1" fontId="4" fillId="27" borderId="36" xfId="0" applyNumberFormat="1" applyFont="1" applyFill="1" applyBorder="1" applyAlignment="1" applyProtection="1">
      <alignment horizontal="left" vertical="center"/>
      <protection hidden="1"/>
    </xf>
    <xf numFmtId="0" fontId="4" fillId="27" borderId="27" xfId="0" quotePrefix="1" applyFont="1" applyFill="1" applyBorder="1" applyAlignment="1" applyProtection="1">
      <alignment horizontal="center" vertical="center"/>
      <protection hidden="1"/>
    </xf>
    <xf numFmtId="1" fontId="4" fillId="27" borderId="33" xfId="0" quotePrefix="1" applyNumberFormat="1" applyFont="1" applyFill="1" applyBorder="1" applyAlignment="1" applyProtection="1">
      <alignment horizontal="center" vertical="center"/>
      <protection hidden="1"/>
    </xf>
    <xf numFmtId="0" fontId="4" fillId="27" borderId="21" xfId="0" quotePrefix="1" applyFont="1" applyFill="1" applyBorder="1" applyAlignment="1" applyProtection="1">
      <alignment horizontal="center" vertical="center"/>
      <protection hidden="1"/>
    </xf>
    <xf numFmtId="1" fontId="2" fillId="0" borderId="82" xfId="0" applyNumberFormat="1" applyFont="1" applyBorder="1" applyAlignment="1" applyProtection="1">
      <alignment horizontal="center" vertical="center"/>
      <protection hidden="1"/>
    </xf>
    <xf numFmtId="1" fontId="2" fillId="0" borderId="18" xfId="0" applyNumberFormat="1" applyFont="1" applyBorder="1" applyAlignment="1" applyProtection="1">
      <alignment horizontal="center" vertical="center"/>
      <protection hidden="1"/>
    </xf>
    <xf numFmtId="1" fontId="2" fillId="0" borderId="81" xfId="0" applyNumberFormat="1" applyFont="1" applyBorder="1" applyAlignment="1" applyProtection="1">
      <alignment horizontal="center" vertical="center"/>
      <protection hidden="1"/>
    </xf>
    <xf numFmtId="1" fontId="2" fillId="0" borderId="107" xfId="0" applyNumberFormat="1" applyFont="1" applyBorder="1" applyAlignment="1" applyProtection="1">
      <alignment horizontal="center" vertical="center"/>
      <protection hidden="1"/>
    </xf>
    <xf numFmtId="1" fontId="2" fillId="0" borderId="135" xfId="0" applyNumberFormat="1" applyFont="1" applyBorder="1" applyAlignment="1" applyProtection="1">
      <alignment horizontal="center" vertical="center"/>
      <protection hidden="1"/>
    </xf>
    <xf numFmtId="1" fontId="2" fillId="0" borderId="84" xfId="0" applyNumberFormat="1" applyFont="1" applyBorder="1" applyAlignment="1" applyProtection="1">
      <alignment horizontal="center" vertical="center"/>
      <protection hidden="1"/>
    </xf>
    <xf numFmtId="1" fontId="2" fillId="0" borderId="108" xfId="0" applyNumberFormat="1" applyFont="1" applyBorder="1" applyAlignment="1" applyProtection="1">
      <alignment horizontal="center" vertical="center"/>
      <protection hidden="1"/>
    </xf>
    <xf numFmtId="1" fontId="2" fillId="0" borderId="85" xfId="0" applyNumberFormat="1" applyFont="1" applyBorder="1" applyAlignment="1" applyProtection="1">
      <alignment horizontal="center" vertical="center"/>
      <protection hidden="1"/>
    </xf>
    <xf numFmtId="0" fontId="2" fillId="27" borderId="75" xfId="0" applyFont="1" applyFill="1" applyBorder="1" applyAlignment="1" applyProtection="1">
      <alignment horizontal="center" vertical="center"/>
      <protection hidden="1"/>
    </xf>
    <xf numFmtId="0" fontId="2" fillId="27" borderId="110" xfId="0" applyFont="1" applyFill="1" applyBorder="1" applyAlignment="1" applyProtection="1">
      <alignment horizontal="center" vertical="center"/>
      <protection hidden="1"/>
    </xf>
    <xf numFmtId="0" fontId="2" fillId="27" borderId="131" xfId="0" applyFont="1" applyFill="1" applyBorder="1" applyAlignment="1" applyProtection="1">
      <alignment horizontal="center" vertical="center"/>
      <protection hidden="1"/>
    </xf>
    <xf numFmtId="165" fontId="2" fillId="0" borderId="88" xfId="0" applyNumberFormat="1" applyFont="1" applyBorder="1" applyAlignment="1" applyProtection="1">
      <alignment horizontal="center" vertical="center"/>
      <protection hidden="1"/>
    </xf>
    <xf numFmtId="165" fontId="2" fillId="0" borderId="13" xfId="0" applyNumberFormat="1" applyFont="1" applyBorder="1" applyAlignment="1" applyProtection="1">
      <alignment horizontal="center" vertical="center"/>
      <protection hidden="1"/>
    </xf>
    <xf numFmtId="165" fontId="2" fillId="0" borderId="57" xfId="0" applyNumberFormat="1" applyFont="1" applyBorder="1" applyAlignment="1" applyProtection="1">
      <alignment horizontal="center" vertical="center"/>
      <protection hidden="1"/>
    </xf>
    <xf numFmtId="165" fontId="2" fillId="0" borderId="111" xfId="0" applyNumberFormat="1" applyFont="1" applyBorder="1" applyAlignment="1" applyProtection="1">
      <alignment horizontal="center" vertical="center"/>
      <protection hidden="1"/>
    </xf>
    <xf numFmtId="165" fontId="2" fillId="0" borderId="89" xfId="0" applyNumberFormat="1" applyFont="1" applyBorder="1" applyAlignment="1" applyProtection="1">
      <alignment horizontal="center" vertical="center"/>
      <protection hidden="1"/>
    </xf>
    <xf numFmtId="165" fontId="2" fillId="0" borderId="84" xfId="0" applyNumberFormat="1" applyFont="1" applyBorder="1" applyAlignment="1" applyProtection="1">
      <alignment horizontal="center" vertical="center"/>
      <protection hidden="1"/>
    </xf>
    <xf numFmtId="165" fontId="2" fillId="0" borderId="14" xfId="0" applyNumberFormat="1" applyFont="1" applyBorder="1" applyAlignment="1" applyProtection="1">
      <alignment horizontal="center" vertical="center"/>
      <protection hidden="1"/>
    </xf>
    <xf numFmtId="165" fontId="2" fillId="0" borderId="108" xfId="0" applyNumberFormat="1" applyFont="1" applyBorder="1" applyAlignment="1" applyProtection="1">
      <alignment horizontal="center" vertical="center"/>
      <protection hidden="1"/>
    </xf>
    <xf numFmtId="165" fontId="2" fillId="0" borderId="85" xfId="0" applyNumberFormat="1" applyFont="1" applyBorder="1" applyAlignment="1" applyProtection="1">
      <alignment horizontal="center" vertical="center"/>
      <protection hidden="1"/>
    </xf>
    <xf numFmtId="165" fontId="2" fillId="0" borderId="82" xfId="0" applyNumberFormat="1" applyFont="1" applyBorder="1" applyAlignment="1" applyProtection="1">
      <alignment horizontal="center" vertical="center"/>
      <protection hidden="1"/>
    </xf>
    <xf numFmtId="165" fontId="2" fillId="0" borderId="18" xfId="0" applyNumberFormat="1" applyFont="1" applyBorder="1" applyAlignment="1" applyProtection="1">
      <alignment horizontal="center" vertical="center"/>
      <protection hidden="1"/>
    </xf>
    <xf numFmtId="165" fontId="2" fillId="0" borderId="109" xfId="0" applyNumberFormat="1" applyFont="1" applyBorder="1" applyAlignment="1" applyProtection="1">
      <alignment horizontal="center" vertical="center"/>
      <protection hidden="1"/>
    </xf>
    <xf numFmtId="165" fontId="2" fillId="0" borderId="83" xfId="0" applyNumberFormat="1" applyFont="1" applyBorder="1" applyAlignment="1" applyProtection="1">
      <alignment horizontal="center" vertical="center"/>
      <protection hidden="1"/>
    </xf>
    <xf numFmtId="0" fontId="2" fillId="27" borderId="31" xfId="0" applyFont="1" applyFill="1" applyBorder="1" applyAlignment="1" applyProtection="1">
      <alignment horizontal="center" vertical="center"/>
      <protection hidden="1"/>
    </xf>
    <xf numFmtId="1" fontId="2" fillId="0" borderId="88" xfId="0" applyNumberFormat="1" applyFont="1" applyBorder="1" applyAlignment="1" applyProtection="1">
      <alignment horizontal="center" vertical="center"/>
      <protection hidden="1"/>
    </xf>
    <xf numFmtId="1" fontId="2" fillId="0" borderId="111" xfId="0" applyNumberFormat="1" applyFont="1" applyBorder="1" applyAlignment="1" applyProtection="1">
      <alignment horizontal="center" vertical="center"/>
      <protection hidden="1"/>
    </xf>
    <xf numFmtId="1" fontId="2" fillId="0" borderId="89" xfId="0" applyNumberFormat="1" applyFont="1" applyBorder="1" applyAlignment="1" applyProtection="1">
      <alignment horizontal="center" vertical="center"/>
      <protection hidden="1"/>
    </xf>
    <xf numFmtId="1" fontId="2" fillId="0" borderId="86" xfId="0" applyNumberFormat="1" applyFont="1" applyBorder="1" applyAlignment="1" applyProtection="1">
      <alignment horizontal="center" vertical="center"/>
      <protection hidden="1"/>
    </xf>
    <xf numFmtId="1" fontId="2" fillId="0" borderId="112" xfId="0" applyNumberFormat="1" applyFont="1" applyBorder="1" applyAlignment="1" applyProtection="1">
      <alignment horizontal="center" vertical="center"/>
      <protection hidden="1"/>
    </xf>
    <xf numFmtId="1" fontId="2" fillId="0" borderId="87" xfId="0" applyNumberFormat="1" applyFont="1" applyBorder="1" applyAlignment="1" applyProtection="1">
      <alignment horizontal="center" vertical="center"/>
      <protection hidden="1"/>
    </xf>
    <xf numFmtId="1" fontId="2" fillId="27" borderId="40" xfId="0" applyNumberFormat="1" applyFont="1" applyFill="1" applyBorder="1" applyAlignment="1" applyProtection="1">
      <alignment horizontal="center" vertical="center"/>
      <protection hidden="1"/>
    </xf>
    <xf numFmtId="1" fontId="2" fillId="27" borderId="104" xfId="0" applyNumberFormat="1" applyFont="1" applyFill="1" applyBorder="1" applyAlignment="1" applyProtection="1">
      <alignment horizontal="center" vertical="center"/>
      <protection hidden="1"/>
    </xf>
    <xf numFmtId="1" fontId="2" fillId="27" borderId="127" xfId="0" applyNumberFormat="1" applyFont="1" applyFill="1" applyBorder="1" applyAlignment="1" applyProtection="1">
      <alignment horizontal="center" vertical="center"/>
      <protection hidden="1"/>
    </xf>
    <xf numFmtId="1" fontId="2" fillId="0" borderId="109" xfId="0" applyNumberFormat="1" applyFont="1" applyBorder="1" applyAlignment="1" applyProtection="1">
      <alignment horizontal="center" vertical="center"/>
      <protection hidden="1"/>
    </xf>
    <xf numFmtId="1" fontId="2" fillId="0" borderId="83" xfId="0" applyNumberFormat="1" applyFont="1" applyBorder="1" applyAlignment="1" applyProtection="1">
      <alignment horizontal="center" vertical="center"/>
      <protection hidden="1"/>
    </xf>
    <xf numFmtId="1" fontId="2" fillId="0" borderId="78" xfId="0" applyNumberFormat="1" applyFont="1" applyBorder="1" applyAlignment="1" applyProtection="1">
      <alignment horizontal="center" vertical="center"/>
      <protection hidden="1"/>
    </xf>
    <xf numFmtId="1" fontId="2" fillId="0" borderId="128" xfId="0" applyNumberFormat="1" applyFont="1" applyBorder="1" applyAlignment="1" applyProtection="1">
      <alignment horizontal="center" vertical="center"/>
      <protection hidden="1"/>
    </xf>
    <xf numFmtId="1" fontId="2" fillId="0" borderId="117" xfId="0" applyNumberFormat="1" applyFont="1" applyBorder="1" applyAlignment="1" applyProtection="1">
      <alignment horizontal="center" vertical="center"/>
      <protection hidden="1"/>
    </xf>
    <xf numFmtId="1" fontId="2" fillId="27" borderId="17" xfId="0" applyNumberFormat="1" applyFont="1" applyFill="1" applyBorder="1" applyAlignment="1" applyProtection="1">
      <alignment horizontal="center" vertical="center"/>
      <protection hidden="1"/>
    </xf>
    <xf numFmtId="1" fontId="2" fillId="27" borderId="35" xfId="0" applyNumberFormat="1" applyFont="1" applyFill="1" applyBorder="1" applyAlignment="1" applyProtection="1">
      <alignment horizontal="center" vertical="center"/>
      <protection hidden="1"/>
    </xf>
    <xf numFmtId="1" fontId="2" fillId="27" borderId="129" xfId="0" applyNumberFormat="1" applyFont="1" applyFill="1" applyBorder="1" applyAlignment="1" applyProtection="1">
      <alignment horizontal="center" vertical="center"/>
      <protection hidden="1"/>
    </xf>
    <xf numFmtId="1" fontId="2" fillId="27" borderId="52" xfId="0" applyNumberFormat="1" applyFont="1" applyFill="1" applyBorder="1" applyAlignment="1" applyProtection="1">
      <alignment horizontal="center" vertical="center"/>
      <protection hidden="1"/>
    </xf>
    <xf numFmtId="1" fontId="2" fillId="0" borderId="31" xfId="0" applyNumberFormat="1" applyFont="1" applyBorder="1" applyAlignment="1" applyProtection="1">
      <alignment horizontal="center" vertical="center"/>
      <protection hidden="1"/>
    </xf>
    <xf numFmtId="1" fontId="2" fillId="0" borderId="38" xfId="0" applyNumberFormat="1" applyFont="1" applyBorder="1" applyAlignment="1" applyProtection="1">
      <alignment horizontal="center" vertical="center"/>
      <protection hidden="1"/>
    </xf>
    <xf numFmtId="1" fontId="2" fillId="0" borderId="105" xfId="0" applyNumberFormat="1" applyFont="1" applyBorder="1" applyAlignment="1" applyProtection="1">
      <alignment horizontal="center" vertical="center"/>
      <protection hidden="1"/>
    </xf>
    <xf numFmtId="1" fontId="2" fillId="0" borderId="70" xfId="0" applyNumberFormat="1" applyFont="1" applyBorder="1" applyAlignment="1" applyProtection="1">
      <alignment horizontal="center" vertical="center"/>
      <protection hidden="1"/>
    </xf>
    <xf numFmtId="1" fontId="2" fillId="27" borderId="34" xfId="0" applyNumberFormat="1" applyFont="1" applyFill="1" applyBorder="1" applyAlignment="1" applyProtection="1">
      <alignment horizontal="center" vertical="center"/>
      <protection hidden="1"/>
    </xf>
    <xf numFmtId="1" fontId="2" fillId="27" borderId="106" xfId="0" applyNumberFormat="1" applyFont="1" applyFill="1" applyBorder="1" applyAlignment="1" applyProtection="1">
      <alignment horizontal="center" vertical="center"/>
      <protection hidden="1"/>
    </xf>
    <xf numFmtId="1" fontId="2" fillId="27" borderId="73" xfId="0" applyNumberFormat="1" applyFont="1" applyFill="1" applyBorder="1" applyAlignment="1" applyProtection="1">
      <alignment horizontal="center" vertical="center"/>
      <protection hidden="1"/>
    </xf>
    <xf numFmtId="0" fontId="2" fillId="0" borderId="86" xfId="0" applyFont="1" applyBorder="1" applyAlignment="1" applyProtection="1">
      <alignment horizontal="center" vertical="center"/>
      <protection hidden="1"/>
    </xf>
    <xf numFmtId="0" fontId="2" fillId="0" borderId="6" xfId="0" applyFont="1" applyBorder="1" applyAlignment="1" applyProtection="1">
      <alignment horizontal="center" vertical="center"/>
      <protection hidden="1"/>
    </xf>
    <xf numFmtId="0" fontId="2" fillId="0" borderId="112" xfId="0" applyFont="1" applyBorder="1" applyAlignment="1" applyProtection="1">
      <alignment horizontal="center" vertical="center"/>
      <protection hidden="1"/>
    </xf>
    <xf numFmtId="0" fontId="2" fillId="0" borderId="87" xfId="0" applyFont="1" applyBorder="1" applyAlignment="1" applyProtection="1">
      <alignment horizontal="center" vertical="center"/>
      <protection hidden="1"/>
    </xf>
    <xf numFmtId="0" fontId="2" fillId="0" borderId="132" xfId="0" applyFont="1" applyBorder="1" applyAlignment="1" applyProtection="1">
      <alignment horizontal="center" vertical="center"/>
      <protection hidden="1"/>
    </xf>
    <xf numFmtId="165" fontId="2" fillId="0" borderId="56" xfId="0" applyNumberFormat="1" applyFont="1" applyBorder="1" applyAlignment="1" applyProtection="1">
      <alignment horizontal="center" vertical="center"/>
      <protection hidden="1"/>
    </xf>
    <xf numFmtId="165" fontId="2" fillId="0" borderId="84" xfId="0" quotePrefix="1" applyNumberFormat="1" applyFont="1" applyBorder="1" applyAlignment="1" applyProtection="1">
      <alignment horizontal="center" vertical="center"/>
      <protection hidden="1"/>
    </xf>
    <xf numFmtId="0" fontId="2" fillId="0" borderId="24" xfId="0" applyFont="1" applyBorder="1" applyAlignment="1">
      <alignment horizontal="center" textRotation="90" wrapText="1"/>
    </xf>
    <xf numFmtId="0" fontId="2" fillId="0" borderId="23" xfId="0" applyFont="1" applyBorder="1" applyAlignment="1" applyProtection="1">
      <alignment horizontal="center" textRotation="90"/>
      <protection hidden="1"/>
    </xf>
    <xf numFmtId="0" fontId="2" fillId="0" borderId="24" xfId="0" applyFont="1" applyBorder="1" applyAlignment="1" applyProtection="1">
      <alignment horizontal="center" textRotation="90"/>
      <protection hidden="1"/>
    </xf>
    <xf numFmtId="0" fontId="2" fillId="0" borderId="119" xfId="0" applyFont="1" applyBorder="1" applyAlignment="1" applyProtection="1">
      <alignment horizontal="center" textRotation="90" wrapText="1"/>
      <protection hidden="1"/>
    </xf>
    <xf numFmtId="0" fontId="2" fillId="0" borderId="55" xfId="0" applyFont="1" applyBorder="1" applyAlignment="1">
      <alignment horizontal="center" textRotation="90" wrapText="1"/>
    </xf>
    <xf numFmtId="0" fontId="2" fillId="0" borderId="26" xfId="0" quotePrefix="1" applyFont="1" applyBorder="1" applyAlignment="1">
      <alignment horizontal="center" vertical="center"/>
    </xf>
    <xf numFmtId="0" fontId="2" fillId="0" borderId="53" xfId="0" applyFont="1" applyBorder="1" applyAlignment="1">
      <alignment horizontal="center" vertical="center" wrapText="1"/>
    </xf>
    <xf numFmtId="1" fontId="2" fillId="0" borderId="13" xfId="0" applyNumberFormat="1" applyFont="1" applyBorder="1" applyAlignment="1" applyProtection="1">
      <alignment horizontal="center" vertical="center"/>
      <protection locked="0" hidden="1"/>
    </xf>
    <xf numFmtId="1" fontId="2" fillId="0" borderId="88" xfId="0" applyNumberFormat="1" applyFont="1" applyBorder="1" applyAlignment="1" applyProtection="1">
      <alignment horizontal="center" vertical="center"/>
      <protection locked="0" hidden="1"/>
    </xf>
    <xf numFmtId="1" fontId="2" fillId="0" borderId="14" xfId="0" applyNumberFormat="1" applyFont="1" applyBorder="1" applyAlignment="1" applyProtection="1">
      <alignment horizontal="center" vertical="center"/>
      <protection locked="0" hidden="1"/>
    </xf>
    <xf numFmtId="1" fontId="2" fillId="0" borderId="84" xfId="0" applyNumberFormat="1" applyFont="1" applyBorder="1" applyAlignment="1" applyProtection="1">
      <alignment horizontal="center" vertical="center"/>
      <protection locked="0" hidden="1"/>
    </xf>
    <xf numFmtId="1" fontId="2" fillId="0" borderId="86" xfId="0" applyNumberFormat="1" applyFont="1" applyBorder="1" applyAlignment="1" applyProtection="1">
      <alignment horizontal="center" vertical="center"/>
      <protection locked="0" hidden="1"/>
    </xf>
    <xf numFmtId="1" fontId="2" fillId="0" borderId="56" xfId="0" applyNumberFormat="1" applyFont="1" applyBorder="1" applyAlignment="1" applyProtection="1">
      <alignment horizontal="center" vertical="center"/>
      <protection locked="0" hidden="1"/>
    </xf>
    <xf numFmtId="165" fontId="2" fillId="0" borderId="14" xfId="0" applyNumberFormat="1" applyFont="1" applyBorder="1" applyAlignment="1" applyProtection="1">
      <alignment horizontal="center" vertical="center"/>
      <protection locked="0" hidden="1"/>
    </xf>
    <xf numFmtId="165" fontId="2" fillId="0" borderId="84" xfId="0" applyNumberFormat="1" applyFont="1" applyBorder="1" applyAlignment="1" applyProtection="1">
      <alignment horizontal="center" vertical="center"/>
      <protection locked="0" hidden="1"/>
    </xf>
    <xf numFmtId="1" fontId="2" fillId="0" borderId="78" xfId="0" applyNumberFormat="1" applyFont="1" applyBorder="1" applyAlignment="1" applyProtection="1">
      <alignment horizontal="center" vertical="center"/>
      <protection locked="0" hidden="1"/>
    </xf>
    <xf numFmtId="1" fontId="2" fillId="0" borderId="77" xfId="0" applyNumberFormat="1" applyFont="1" applyBorder="1" applyAlignment="1" applyProtection="1">
      <alignment horizontal="center" vertical="center"/>
      <protection hidden="1"/>
    </xf>
    <xf numFmtId="1" fontId="2" fillId="0" borderId="101" xfId="0" applyNumberFormat="1" applyFont="1" applyBorder="1" applyAlignment="1" applyProtection="1">
      <alignment horizontal="center" vertical="center"/>
      <protection locked="0" hidden="1"/>
    </xf>
    <xf numFmtId="1" fontId="2" fillId="0" borderId="15" xfId="0" applyNumberFormat="1" applyFont="1" applyBorder="1" applyAlignment="1" applyProtection="1">
      <alignment horizontal="center" vertical="center"/>
      <protection locked="0" hidden="1"/>
    </xf>
    <xf numFmtId="1" fontId="2" fillId="0" borderId="7" xfId="0" applyNumberFormat="1" applyFont="1" applyBorder="1" applyAlignment="1" applyProtection="1">
      <alignment horizontal="center" vertical="center"/>
      <protection hidden="1"/>
    </xf>
    <xf numFmtId="1" fontId="2" fillId="0" borderId="25" xfId="0" applyNumberFormat="1" applyFont="1" applyBorder="1" applyAlignment="1" applyProtection="1">
      <alignment horizontal="center" vertical="center"/>
      <protection locked="0" hidden="1"/>
    </xf>
    <xf numFmtId="1" fontId="2" fillId="0" borderId="15" xfId="0" applyNumberFormat="1" applyFont="1" applyBorder="1" applyAlignment="1" applyProtection="1">
      <alignment horizontal="center" vertical="center"/>
      <protection hidden="1"/>
    </xf>
    <xf numFmtId="165" fontId="2" fillId="0" borderId="15" xfId="0" applyNumberFormat="1" applyFont="1" applyBorder="1" applyAlignment="1" applyProtection="1">
      <alignment horizontal="center" vertical="center"/>
      <protection locked="0" hidden="1"/>
    </xf>
    <xf numFmtId="165" fontId="2" fillId="0" borderId="7" xfId="0" quotePrefix="1" applyNumberFormat="1" applyFont="1" applyBorder="1" applyAlignment="1" applyProtection="1">
      <alignment horizontal="center" vertical="center"/>
      <protection hidden="1"/>
    </xf>
    <xf numFmtId="165" fontId="2" fillId="0" borderId="7" xfId="0" applyNumberFormat="1" applyFont="1" applyBorder="1" applyAlignment="1" applyProtection="1">
      <alignment horizontal="center" vertical="center"/>
      <protection hidden="1"/>
    </xf>
    <xf numFmtId="165" fontId="2" fillId="0" borderId="25" xfId="0" applyNumberFormat="1" applyFont="1" applyBorder="1" applyAlignment="1" applyProtection="1">
      <alignment horizontal="center" vertical="center"/>
      <protection locked="0" hidden="1"/>
    </xf>
    <xf numFmtId="165" fontId="2" fillId="0" borderId="15" xfId="0" applyNumberFormat="1" applyFont="1" applyBorder="1" applyAlignment="1" applyProtection="1">
      <alignment horizontal="center" vertical="center"/>
      <protection hidden="1"/>
    </xf>
    <xf numFmtId="165" fontId="2" fillId="0" borderId="16" xfId="0" quotePrefix="1" applyNumberFormat="1" applyFont="1" applyBorder="1" applyAlignment="1" applyProtection="1">
      <alignment horizontal="center" vertical="center"/>
      <protection hidden="1"/>
    </xf>
    <xf numFmtId="165" fontId="2" fillId="0" borderId="15" xfId="0" quotePrefix="1" applyNumberFormat="1" applyFont="1" applyBorder="1" applyAlignment="1" applyProtection="1">
      <alignment horizontal="center" vertical="center"/>
      <protection hidden="1"/>
    </xf>
    <xf numFmtId="165" fontId="2" fillId="0" borderId="14" xfId="0" quotePrefix="1" applyNumberFormat="1" applyFont="1" applyBorder="1" applyAlignment="1" applyProtection="1">
      <alignment horizontal="center" vertical="center"/>
      <protection locked="0" hidden="1"/>
    </xf>
    <xf numFmtId="165" fontId="2" fillId="0" borderId="56" xfId="0" quotePrefix="1" applyNumberFormat="1" applyFont="1" applyBorder="1" applyAlignment="1" applyProtection="1">
      <alignment horizontal="center" vertical="center"/>
      <protection hidden="1"/>
    </xf>
    <xf numFmtId="165" fontId="2" fillId="0" borderId="14" xfId="0" quotePrefix="1" applyNumberFormat="1" applyFont="1" applyBorder="1" applyAlignment="1" applyProtection="1">
      <alignment horizontal="center" vertical="center"/>
      <protection hidden="1"/>
    </xf>
    <xf numFmtId="165" fontId="2" fillId="0" borderId="13" xfId="0" quotePrefix="1" applyNumberFormat="1" applyFont="1" applyBorder="1" applyAlignment="1" applyProtection="1">
      <alignment horizontal="center" vertical="center"/>
      <protection hidden="1"/>
    </xf>
    <xf numFmtId="165" fontId="2" fillId="0" borderId="6" xfId="0" applyNumberFormat="1" applyFont="1" applyBorder="1" applyAlignment="1" applyProtection="1">
      <alignment horizontal="center" vertical="center"/>
      <protection locked="0" hidden="1"/>
    </xf>
    <xf numFmtId="165" fontId="2" fillId="0" borderId="71" xfId="0" quotePrefix="1" applyNumberFormat="1" applyFont="1" applyBorder="1" applyAlignment="1" applyProtection="1">
      <alignment horizontal="center" vertical="center"/>
      <protection hidden="1"/>
    </xf>
    <xf numFmtId="165" fontId="2" fillId="0" borderId="6" xfId="0" quotePrefix="1" applyNumberFormat="1" applyFont="1" applyBorder="1" applyAlignment="1" applyProtection="1">
      <alignment horizontal="center" vertical="center"/>
      <protection hidden="1"/>
    </xf>
    <xf numFmtId="165" fontId="2" fillId="0" borderId="6" xfId="0" applyNumberFormat="1" applyFont="1" applyBorder="1" applyAlignment="1" applyProtection="1">
      <alignment horizontal="center" vertical="center"/>
      <protection hidden="1"/>
    </xf>
    <xf numFmtId="0" fontId="2" fillId="0" borderId="17" xfId="0" quotePrefix="1" applyFont="1" applyBorder="1" applyAlignment="1" applyProtection="1">
      <alignment horizontal="center" vertical="center"/>
      <protection locked="0" hidden="1"/>
    </xf>
    <xf numFmtId="0" fontId="2" fillId="0" borderId="26" xfId="0" quotePrefix="1" applyFont="1" applyBorder="1" applyAlignment="1" applyProtection="1">
      <alignment horizontal="center" vertical="center"/>
      <protection locked="0" hidden="1"/>
    </xf>
    <xf numFmtId="1" fontId="2" fillId="0" borderId="18" xfId="0" quotePrefix="1" applyNumberFormat="1" applyFont="1" applyBorder="1" applyAlignment="1" applyProtection="1">
      <alignment horizontal="center" vertical="center"/>
      <protection locked="0" hidden="1"/>
    </xf>
    <xf numFmtId="0" fontId="2" fillId="0" borderId="81" xfId="0" applyFont="1" applyBorder="1" applyAlignment="1" applyProtection="1">
      <alignment horizontal="center" vertical="center"/>
      <protection hidden="1"/>
    </xf>
    <xf numFmtId="1" fontId="2" fillId="0" borderId="82" xfId="0" quotePrefix="1" applyNumberFormat="1" applyFont="1" applyBorder="1" applyAlignment="1" applyProtection="1">
      <alignment horizontal="center" vertical="center"/>
      <protection locked="0" hidden="1"/>
    </xf>
    <xf numFmtId="0" fontId="2" fillId="0" borderId="18" xfId="0" applyFont="1" applyBorder="1" applyAlignment="1" applyProtection="1">
      <alignment horizontal="center" vertical="center"/>
      <protection hidden="1"/>
    </xf>
    <xf numFmtId="0" fontId="2" fillId="0" borderId="18" xfId="0" quotePrefix="1" applyFont="1" applyBorder="1" applyAlignment="1" applyProtection="1">
      <alignment horizontal="center" vertical="center"/>
      <protection hidden="1"/>
    </xf>
    <xf numFmtId="0" fontId="4" fillId="27" borderId="27" xfId="0" quotePrefix="1" applyFont="1" applyFill="1" applyBorder="1" applyAlignment="1">
      <alignment horizontal="center" vertical="center"/>
    </xf>
    <xf numFmtId="0" fontId="4" fillId="27" borderId="39" xfId="0" quotePrefix="1" applyFont="1" applyFill="1" applyBorder="1" applyAlignment="1">
      <alignment horizontal="center" vertical="center" wrapText="1"/>
    </xf>
    <xf numFmtId="164" fontId="4" fillId="27" borderId="47" xfId="0" quotePrefix="1" applyNumberFormat="1" applyFont="1" applyFill="1" applyBorder="1" applyAlignment="1" applyProtection="1">
      <alignment horizontal="center" vertical="center"/>
      <protection hidden="1"/>
    </xf>
    <xf numFmtId="0" fontId="5" fillId="27" borderId="27" xfId="0" applyFont="1" applyFill="1" applyBorder="1" applyAlignment="1">
      <alignment horizontal="center" vertical="center"/>
    </xf>
    <xf numFmtId="0" fontId="4" fillId="27" borderId="47" xfId="0" applyFont="1" applyFill="1" applyBorder="1" applyAlignment="1" applyProtection="1">
      <alignment horizontal="center" vertical="center"/>
      <protection locked="0" hidden="1"/>
    </xf>
    <xf numFmtId="0" fontId="2" fillId="27" borderId="75" xfId="0" applyFont="1" applyFill="1" applyBorder="1" applyAlignment="1">
      <alignment horizontal="center" vertical="center"/>
    </xf>
    <xf numFmtId="0" fontId="2" fillId="27" borderId="34" xfId="0" applyFont="1" applyFill="1" applyBorder="1" applyAlignment="1" applyProtection="1">
      <alignment horizontal="center" vertical="center"/>
      <protection locked="0" hidden="1"/>
    </xf>
    <xf numFmtId="0" fontId="12" fillId="27" borderId="47" xfId="0" applyFont="1" applyFill="1" applyBorder="1" applyAlignment="1" applyProtection="1">
      <alignment horizontal="center" vertical="center"/>
      <protection locked="0" hidden="1"/>
    </xf>
    <xf numFmtId="165" fontId="12" fillId="27" borderId="47" xfId="0" applyNumberFormat="1" applyFont="1" applyFill="1" applyBorder="1" applyAlignment="1" applyProtection="1">
      <alignment horizontal="center" vertical="center"/>
      <protection locked="0" hidden="1"/>
    </xf>
    <xf numFmtId="0" fontId="4" fillId="27" borderId="27" xfId="0" applyFont="1" applyFill="1" applyBorder="1" applyAlignment="1" applyProtection="1">
      <alignment horizontal="center" vertical="center"/>
      <protection locked="0" hidden="1"/>
    </xf>
    <xf numFmtId="0" fontId="2" fillId="27" borderId="35" xfId="0" applyFont="1" applyFill="1" applyBorder="1" applyAlignment="1" applyProtection="1">
      <alignment horizontal="center" vertical="center"/>
      <protection locked="0" hidden="1"/>
    </xf>
    <xf numFmtId="0" fontId="12" fillId="27" borderId="27" xfId="0" applyFont="1" applyFill="1" applyBorder="1" applyAlignment="1" applyProtection="1">
      <alignment horizontal="center" vertical="center"/>
      <protection locked="0" hidden="1"/>
    </xf>
    <xf numFmtId="165" fontId="2" fillId="27" borderId="34" xfId="0" applyNumberFormat="1" applyFont="1" applyFill="1" applyBorder="1" applyAlignment="1" applyProtection="1">
      <alignment horizontal="center" vertical="center"/>
      <protection hidden="1"/>
    </xf>
    <xf numFmtId="0" fontId="12" fillId="27" borderId="27" xfId="0" applyFont="1" applyFill="1" applyBorder="1" applyAlignment="1" applyProtection="1">
      <alignment horizontal="center"/>
      <protection locked="0" hidden="1"/>
    </xf>
    <xf numFmtId="0" fontId="2" fillId="27" borderId="34" xfId="0" applyFont="1" applyFill="1" applyBorder="1" applyAlignment="1" applyProtection="1">
      <alignment horizontal="center"/>
      <protection locked="0" hidden="1"/>
    </xf>
    <xf numFmtId="0" fontId="2" fillId="27" borderId="34" xfId="0" quotePrefix="1" applyFont="1" applyFill="1" applyBorder="1" applyAlignment="1" applyProtection="1">
      <alignment horizontal="center"/>
      <protection hidden="1"/>
    </xf>
    <xf numFmtId="0" fontId="12" fillId="27" borderId="27" xfId="0" applyFont="1" applyFill="1" applyBorder="1" applyProtection="1">
      <protection locked="0" hidden="1"/>
    </xf>
    <xf numFmtId="1" fontId="4" fillId="27" borderId="27" xfId="0" applyNumberFormat="1" applyFont="1" applyFill="1" applyBorder="1" applyAlignment="1" applyProtection="1">
      <alignment horizontal="center" vertical="center"/>
      <protection locked="0" hidden="1"/>
    </xf>
    <xf numFmtId="1" fontId="2" fillId="27" borderId="26" xfId="0" applyNumberFormat="1" applyFont="1" applyFill="1" applyBorder="1" applyAlignment="1" applyProtection="1">
      <alignment horizontal="center" vertical="center"/>
      <protection locked="0" hidden="1"/>
    </xf>
    <xf numFmtId="164" fontId="2" fillId="27" borderId="34" xfId="0" applyNumberFormat="1" applyFont="1" applyFill="1" applyBorder="1" applyAlignment="1" applyProtection="1">
      <alignment horizontal="center" vertical="center"/>
      <protection hidden="1"/>
    </xf>
    <xf numFmtId="0" fontId="12" fillId="27" borderId="27" xfId="0" quotePrefix="1" applyFont="1" applyFill="1" applyBorder="1" applyAlignment="1" applyProtection="1">
      <alignment horizontal="center" vertical="center"/>
      <protection locked="0" hidden="1"/>
    </xf>
    <xf numFmtId="0" fontId="4" fillId="27" borderId="27" xfId="0" quotePrefix="1" applyFont="1" applyFill="1" applyBorder="1" applyAlignment="1" applyProtection="1">
      <alignment horizontal="center" vertical="center"/>
      <protection locked="0" hidden="1"/>
    </xf>
    <xf numFmtId="1" fontId="4" fillId="27" borderId="33" xfId="0" quotePrefix="1" applyNumberFormat="1" applyFont="1" applyFill="1" applyBorder="1" applyAlignment="1" applyProtection="1">
      <alignment horizontal="center" vertical="center"/>
      <protection locked="0" hidden="1"/>
    </xf>
    <xf numFmtId="1" fontId="4" fillId="27" borderId="22" xfId="0" quotePrefix="1" applyNumberFormat="1" applyFont="1" applyFill="1" applyBorder="1" applyAlignment="1" applyProtection="1">
      <alignment horizontal="center" vertical="center"/>
      <protection locked="0" hidden="1"/>
    </xf>
    <xf numFmtId="0" fontId="4" fillId="27" borderId="21" xfId="0" quotePrefix="1" applyFont="1" applyFill="1" applyBorder="1" applyAlignment="1" applyProtection="1">
      <alignment horizontal="center" vertical="center"/>
      <protection locked="0" hidden="1"/>
    </xf>
    <xf numFmtId="0" fontId="2" fillId="0" borderId="154" xfId="0" applyFont="1" applyBorder="1" applyAlignment="1" applyProtection="1">
      <alignment horizontal="center" textRotation="90"/>
      <protection hidden="1"/>
    </xf>
    <xf numFmtId="0" fontId="2" fillId="27" borderId="73" xfId="0" applyFont="1" applyFill="1" applyBorder="1" applyAlignment="1" applyProtection="1">
      <alignment horizontal="center" vertical="center"/>
      <protection locked="0" hidden="1"/>
    </xf>
    <xf numFmtId="1" fontId="2" fillId="0" borderId="79" xfId="0" applyNumberFormat="1" applyFont="1" applyBorder="1" applyAlignment="1" applyProtection="1">
      <alignment horizontal="center" vertical="center"/>
      <protection hidden="1"/>
    </xf>
    <xf numFmtId="1" fontId="2" fillId="0" borderId="96" xfId="0" applyNumberFormat="1" applyFont="1" applyBorder="1" applyAlignment="1" applyProtection="1">
      <alignment horizontal="center" vertical="center"/>
      <protection hidden="1"/>
    </xf>
    <xf numFmtId="1" fontId="2" fillId="0" borderId="80" xfId="0" applyNumberFormat="1" applyFont="1" applyBorder="1" applyAlignment="1" applyProtection="1">
      <alignment horizontal="center" vertical="center"/>
      <protection hidden="1"/>
    </xf>
    <xf numFmtId="1" fontId="2" fillId="0" borderId="96" xfId="0" applyNumberFormat="1" applyFont="1" applyBorder="1" applyAlignment="1" applyProtection="1">
      <alignment horizontal="center" vertical="center"/>
      <protection locked="0" hidden="1"/>
    </xf>
    <xf numFmtId="165" fontId="2" fillId="0" borderId="96" xfId="0" applyNumberFormat="1" applyFont="1" applyBorder="1" applyAlignment="1" applyProtection="1">
      <alignment horizontal="center" vertical="center"/>
      <protection hidden="1"/>
    </xf>
    <xf numFmtId="1" fontId="2" fillId="0" borderId="136" xfId="0" applyNumberFormat="1" applyFont="1" applyBorder="1" applyAlignment="1" applyProtection="1">
      <alignment horizontal="center" vertical="center"/>
      <protection hidden="1"/>
    </xf>
    <xf numFmtId="1" fontId="2" fillId="0" borderId="134" xfId="0" applyNumberFormat="1" applyFont="1" applyBorder="1" applyAlignment="1" applyProtection="1">
      <alignment horizontal="center" vertical="center"/>
      <protection hidden="1"/>
    </xf>
    <xf numFmtId="165" fontId="2" fillId="0" borderId="134" xfId="0" applyNumberFormat="1" applyFont="1" applyBorder="1" applyAlignment="1" applyProtection="1">
      <alignment horizontal="center" vertical="center"/>
      <protection hidden="1"/>
    </xf>
    <xf numFmtId="165" fontId="2" fillId="27" borderId="73" xfId="0" applyNumberFormat="1" applyFont="1" applyFill="1" applyBorder="1" applyAlignment="1" applyProtection="1">
      <alignment horizontal="center" vertical="center"/>
      <protection hidden="1"/>
    </xf>
    <xf numFmtId="165" fontId="2" fillId="0" borderId="89" xfId="0" quotePrefix="1" applyNumberFormat="1" applyFont="1" applyBorder="1" applyAlignment="1" applyProtection="1">
      <alignment horizontal="center" vertical="center"/>
      <protection hidden="1"/>
    </xf>
    <xf numFmtId="165" fontId="2" fillId="0" borderId="85" xfId="0" quotePrefix="1" applyNumberFormat="1" applyFont="1" applyBorder="1" applyAlignment="1" applyProtection="1">
      <alignment horizontal="center" vertical="center"/>
      <protection hidden="1"/>
    </xf>
    <xf numFmtId="165" fontId="2" fillId="0" borderId="87" xfId="0" quotePrefix="1" applyNumberFormat="1" applyFont="1" applyBorder="1" applyAlignment="1" applyProtection="1">
      <alignment horizontal="center" vertical="center"/>
      <protection hidden="1"/>
    </xf>
    <xf numFmtId="0" fontId="2" fillId="27" borderId="73" xfId="0" quotePrefix="1" applyFont="1" applyFill="1" applyBorder="1" applyAlignment="1" applyProtection="1">
      <alignment horizontal="center"/>
      <protection hidden="1"/>
    </xf>
    <xf numFmtId="0" fontId="2" fillId="0" borderId="73" xfId="0" applyFont="1" applyBorder="1" applyAlignment="1" applyProtection="1">
      <alignment horizontal="center" vertical="center"/>
      <protection hidden="1"/>
    </xf>
    <xf numFmtId="164" fontId="2" fillId="27" borderId="73" xfId="0" applyNumberFormat="1" applyFont="1" applyFill="1" applyBorder="1" applyAlignment="1" applyProtection="1">
      <alignment horizontal="center" vertical="center"/>
      <protection hidden="1"/>
    </xf>
    <xf numFmtId="0" fontId="2" fillId="0" borderId="135" xfId="0" applyFont="1" applyBorder="1" applyAlignment="1" applyProtection="1">
      <alignment horizontal="center" vertical="center"/>
      <protection hidden="1"/>
    </xf>
    <xf numFmtId="0" fontId="2" fillId="0" borderId="96" xfId="0" applyFont="1" applyBorder="1" applyAlignment="1" applyProtection="1">
      <alignment horizontal="center" vertical="center"/>
      <protection hidden="1"/>
    </xf>
    <xf numFmtId="0" fontId="2" fillId="0" borderId="137" xfId="0" applyFont="1" applyBorder="1" applyAlignment="1" applyProtection="1">
      <alignment horizontal="center" vertical="center"/>
      <protection hidden="1"/>
    </xf>
    <xf numFmtId="0" fontId="4" fillId="27" borderId="27" xfId="0" quotePrefix="1" applyFont="1" applyFill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2" fillId="0" borderId="73" xfId="0" applyFont="1" applyBorder="1" applyAlignment="1">
      <alignment horizontal="center" vertical="center" wrapText="1"/>
    </xf>
    <xf numFmtId="1" fontId="2" fillId="0" borderId="44" xfId="0" applyNumberFormat="1" applyFont="1" applyBorder="1" applyAlignment="1" applyProtection="1">
      <alignment horizontal="center" vertical="center"/>
      <protection locked="0" hidden="1"/>
    </xf>
    <xf numFmtId="1" fontId="2" fillId="0" borderId="100" xfId="0" applyNumberFormat="1" applyFont="1" applyBorder="1" applyAlignment="1" applyProtection="1">
      <alignment horizontal="center" vertical="center"/>
      <protection locked="0" hidden="1"/>
    </xf>
    <xf numFmtId="1" fontId="2" fillId="0" borderId="77" xfId="0" quotePrefix="1" applyNumberFormat="1" applyFont="1" applyBorder="1" applyAlignment="1" applyProtection="1">
      <alignment horizontal="center" vertical="center"/>
      <protection locked="0" hidden="1"/>
    </xf>
    <xf numFmtId="1" fontId="2" fillId="0" borderId="78" xfId="0" quotePrefix="1" applyNumberFormat="1" applyFont="1" applyBorder="1" applyAlignment="1" applyProtection="1">
      <alignment horizontal="center" vertical="center"/>
      <protection locked="0" hidden="1"/>
    </xf>
    <xf numFmtId="165" fontId="2" fillId="0" borderId="78" xfId="0" applyNumberFormat="1" applyFont="1" applyBorder="1" applyAlignment="1" applyProtection="1">
      <alignment horizontal="center" vertical="center"/>
      <protection hidden="1"/>
    </xf>
    <xf numFmtId="165" fontId="2" fillId="0" borderId="78" xfId="0" quotePrefix="1" applyNumberFormat="1" applyFont="1" applyBorder="1" applyAlignment="1" applyProtection="1">
      <alignment horizontal="center" vertical="center"/>
      <protection hidden="1"/>
    </xf>
    <xf numFmtId="165" fontId="2" fillId="0" borderId="71" xfId="0" applyNumberFormat="1" applyFont="1" applyBorder="1" applyAlignment="1" applyProtection="1">
      <alignment horizontal="center" vertical="center"/>
      <protection hidden="1"/>
    </xf>
    <xf numFmtId="165" fontId="2" fillId="0" borderId="81" xfId="0" applyNumberFormat="1" applyFont="1" applyBorder="1" applyAlignment="1" applyProtection="1">
      <alignment horizontal="center" vertical="center"/>
      <protection hidden="1"/>
    </xf>
    <xf numFmtId="1" fontId="2" fillId="0" borderId="16" xfId="0" applyNumberFormat="1" applyFont="1" applyBorder="1" applyAlignment="1" applyProtection="1">
      <alignment horizontal="center" vertical="center"/>
      <protection hidden="1"/>
    </xf>
    <xf numFmtId="0" fontId="2" fillId="0" borderId="56" xfId="0" applyFont="1" applyBorder="1" applyAlignment="1" applyProtection="1">
      <alignment horizontal="center" vertical="center"/>
      <protection hidden="1"/>
    </xf>
    <xf numFmtId="0" fontId="2" fillId="0" borderId="23" xfId="0" applyFont="1" applyBorder="1" applyAlignment="1">
      <alignment horizontal="center" textRotation="90" wrapText="1"/>
    </xf>
    <xf numFmtId="165" fontId="2" fillId="0" borderId="86" xfId="0" applyNumberFormat="1" applyFont="1" applyBorder="1" applyAlignment="1" applyProtection="1">
      <alignment horizontal="center" vertical="center"/>
      <protection locked="0" hidden="1"/>
    </xf>
    <xf numFmtId="165" fontId="2" fillId="0" borderId="84" xfId="0" quotePrefix="1" applyNumberFormat="1" applyFont="1" applyBorder="1" applyAlignment="1" applyProtection="1">
      <alignment horizontal="center" vertical="center"/>
      <protection locked="0" hidden="1"/>
    </xf>
    <xf numFmtId="165" fontId="2" fillId="0" borderId="86" xfId="0" quotePrefix="1" applyNumberFormat="1" applyFont="1" applyBorder="1" applyAlignment="1" applyProtection="1">
      <alignment horizontal="center" vertical="center"/>
      <protection locked="0" hidden="1"/>
    </xf>
    <xf numFmtId="165" fontId="2" fillId="0" borderId="29" xfId="0" quotePrefix="1" applyNumberFormat="1" applyFont="1" applyBorder="1" applyAlignment="1" applyProtection="1">
      <alignment horizontal="center" vertical="center"/>
      <protection locked="0" hidden="1"/>
    </xf>
    <xf numFmtId="0" fontId="2" fillId="0" borderId="35" xfId="0" quotePrefix="1" applyFont="1" applyBorder="1" applyAlignment="1" applyProtection="1">
      <alignment horizontal="center" vertical="center"/>
      <protection locked="0" hidden="1"/>
    </xf>
    <xf numFmtId="0" fontId="2" fillId="0" borderId="14" xfId="0" applyFont="1" applyBorder="1" applyAlignment="1" applyProtection="1">
      <alignment horizontal="center" vertical="center"/>
      <protection hidden="1"/>
    </xf>
    <xf numFmtId="1" fontId="4" fillId="27" borderId="27" xfId="0" applyNumberFormat="1" applyFont="1" applyFill="1" applyBorder="1" applyProtection="1">
      <protection locked="0" hidden="1"/>
    </xf>
    <xf numFmtId="1" fontId="4" fillId="27" borderId="36" xfId="0" applyNumberFormat="1" applyFont="1" applyFill="1" applyBorder="1" applyAlignment="1" applyProtection="1">
      <alignment horizontal="center"/>
      <protection locked="0" hidden="1"/>
    </xf>
    <xf numFmtId="1" fontId="4" fillId="27" borderId="27" xfId="0" applyNumberFormat="1" applyFont="1" applyFill="1" applyBorder="1" applyAlignment="1" applyProtection="1">
      <alignment horizontal="center"/>
      <protection locked="0" hidden="1"/>
    </xf>
    <xf numFmtId="1" fontId="2" fillId="27" borderId="34" xfId="0" applyNumberFormat="1" applyFont="1" applyFill="1" applyBorder="1" applyAlignment="1" applyProtection="1">
      <alignment horizontal="center"/>
      <protection hidden="1"/>
    </xf>
    <xf numFmtId="1" fontId="2" fillId="0" borderId="85" xfId="0" applyNumberFormat="1" applyFont="1" applyBorder="1" applyAlignment="1" applyProtection="1">
      <alignment horizontal="center" vertical="center"/>
      <protection locked="0" hidden="1"/>
    </xf>
    <xf numFmtId="165" fontId="2" fillId="0" borderId="135" xfId="0" applyNumberFormat="1" applyFont="1" applyBorder="1" applyAlignment="1" applyProtection="1">
      <alignment horizontal="center" vertical="center"/>
      <protection hidden="1"/>
    </xf>
    <xf numFmtId="1" fontId="2" fillId="0" borderId="155" xfId="0" applyNumberFormat="1" applyFont="1" applyBorder="1" applyAlignment="1" applyProtection="1">
      <alignment horizontal="center" vertical="center"/>
      <protection hidden="1"/>
    </xf>
    <xf numFmtId="165" fontId="2" fillId="0" borderId="80" xfId="0" applyNumberFormat="1" applyFont="1" applyBorder="1" applyAlignment="1" applyProtection="1">
      <alignment horizontal="center" vertical="center"/>
      <protection hidden="1"/>
    </xf>
    <xf numFmtId="165" fontId="2" fillId="0" borderId="96" xfId="0" quotePrefix="1" applyNumberFormat="1" applyFont="1" applyBorder="1" applyAlignment="1" applyProtection="1">
      <alignment horizontal="center" vertical="center"/>
      <protection hidden="1"/>
    </xf>
    <xf numFmtId="165" fontId="2" fillId="0" borderId="80" xfId="0" quotePrefix="1" applyNumberFormat="1" applyFont="1" applyBorder="1" applyAlignment="1" applyProtection="1">
      <alignment horizontal="center" vertical="center"/>
      <protection hidden="1"/>
    </xf>
    <xf numFmtId="1" fontId="2" fillId="27" borderId="73" xfId="0" applyNumberFormat="1" applyFont="1" applyFill="1" applyBorder="1" applyAlignment="1" applyProtection="1">
      <alignment horizontal="center"/>
      <protection hidden="1"/>
    </xf>
    <xf numFmtId="0" fontId="2" fillId="0" borderId="134" xfId="0" applyFont="1" applyBorder="1" applyAlignment="1" applyProtection="1">
      <alignment horizontal="center" vertical="center"/>
      <protection hidden="1"/>
    </xf>
    <xf numFmtId="0" fontId="4" fillId="27" borderId="36" xfId="0" quotePrefix="1" applyFont="1" applyFill="1" applyBorder="1" applyAlignment="1">
      <alignment horizontal="center" vertical="center" wrapText="1"/>
    </xf>
    <xf numFmtId="164" fontId="4" fillId="27" borderId="36" xfId="0" quotePrefix="1" applyNumberFormat="1" applyFont="1" applyFill="1" applyBorder="1" applyAlignment="1" applyProtection="1">
      <alignment horizontal="center" vertical="center"/>
      <protection hidden="1"/>
    </xf>
    <xf numFmtId="0" fontId="4" fillId="27" borderId="36" xfId="0" quotePrefix="1" applyFont="1" applyFill="1" applyBorder="1" applyAlignment="1" applyProtection="1">
      <alignment horizontal="center" vertical="center"/>
      <protection locked="0" hidden="1"/>
    </xf>
    <xf numFmtId="1" fontId="4" fillId="27" borderId="36" xfId="0" applyNumberFormat="1" applyFont="1" applyFill="1" applyBorder="1" applyAlignment="1" applyProtection="1">
      <alignment horizontal="center" vertical="center"/>
      <protection locked="0" hidden="1"/>
    </xf>
    <xf numFmtId="1" fontId="4" fillId="27" borderId="48" xfId="0" quotePrefix="1" applyNumberFormat="1" applyFont="1" applyFill="1" applyBorder="1" applyAlignment="1" applyProtection="1">
      <alignment horizontal="center" vertical="center"/>
      <protection locked="0" hidden="1"/>
    </xf>
    <xf numFmtId="1" fontId="4" fillId="27" borderId="44" xfId="0" quotePrefix="1" applyNumberFormat="1" applyFont="1" applyFill="1" applyBorder="1" applyAlignment="1" applyProtection="1">
      <alignment horizontal="center" vertical="center"/>
      <protection locked="0" hidden="1"/>
    </xf>
    <xf numFmtId="0" fontId="4" fillId="27" borderId="37" xfId="0" quotePrefix="1" applyFont="1" applyFill="1" applyBorder="1" applyAlignment="1" applyProtection="1">
      <alignment horizontal="center" vertical="center"/>
      <protection locked="0" hidden="1"/>
    </xf>
    <xf numFmtId="1" fontId="2" fillId="0" borderId="139" xfId="0" applyNumberFormat="1" applyFont="1" applyBorder="1" applyAlignment="1" applyProtection="1">
      <alignment horizontal="center" vertical="center"/>
      <protection hidden="1"/>
    </xf>
    <xf numFmtId="1" fontId="2" fillId="0" borderId="90" xfId="0" applyNumberFormat="1" applyFont="1" applyBorder="1" applyAlignment="1" applyProtection="1">
      <alignment horizontal="center" vertical="center"/>
      <protection hidden="1"/>
    </xf>
    <xf numFmtId="1" fontId="2" fillId="0" borderId="90" xfId="0" quotePrefix="1" applyNumberFormat="1" applyFont="1" applyBorder="1" applyAlignment="1" applyProtection="1">
      <alignment horizontal="center" vertical="center"/>
      <protection hidden="1"/>
    </xf>
    <xf numFmtId="1" fontId="2" fillId="0" borderId="140" xfId="0" applyNumberFormat="1" applyFont="1" applyBorder="1" applyAlignment="1" applyProtection="1">
      <alignment horizontal="center" vertical="center"/>
      <protection hidden="1"/>
    </xf>
    <xf numFmtId="1" fontId="2" fillId="0" borderId="141" xfId="0" applyNumberFormat="1" applyFont="1" applyBorder="1" applyAlignment="1" applyProtection="1">
      <alignment horizontal="center" vertical="center"/>
      <protection hidden="1"/>
    </xf>
    <xf numFmtId="165" fontId="2" fillId="0" borderId="90" xfId="0" applyNumberFormat="1" applyFont="1" applyBorder="1" applyAlignment="1" applyProtection="1">
      <alignment horizontal="center" vertical="center"/>
      <protection hidden="1"/>
    </xf>
    <xf numFmtId="165" fontId="2" fillId="0" borderId="140" xfId="0" applyNumberFormat="1" applyFont="1" applyBorder="1" applyAlignment="1" applyProtection="1">
      <alignment horizontal="center" vertical="center"/>
      <protection hidden="1"/>
    </xf>
    <xf numFmtId="165" fontId="2" fillId="0" borderId="141" xfId="0" quotePrefix="1" applyNumberFormat="1" applyFont="1" applyBorder="1" applyAlignment="1" applyProtection="1">
      <alignment horizontal="center" vertical="center"/>
      <protection hidden="1"/>
    </xf>
    <xf numFmtId="165" fontId="2" fillId="0" borderId="81" xfId="0" quotePrefix="1" applyNumberFormat="1" applyFont="1" applyBorder="1" applyAlignment="1" applyProtection="1">
      <alignment horizontal="center" vertical="center"/>
      <protection hidden="1"/>
    </xf>
    <xf numFmtId="165" fontId="2" fillId="0" borderId="90" xfId="0" quotePrefix="1" applyNumberFormat="1" applyFont="1" applyBorder="1" applyAlignment="1" applyProtection="1">
      <alignment horizontal="center" vertical="center"/>
      <protection hidden="1"/>
    </xf>
    <xf numFmtId="0" fontId="2" fillId="0" borderId="54" xfId="0" quotePrefix="1" applyFont="1" applyBorder="1" applyAlignment="1" applyProtection="1">
      <alignment horizontal="center" vertical="center"/>
      <protection hidden="1"/>
    </xf>
    <xf numFmtId="0" fontId="2" fillId="0" borderId="139" xfId="0" quotePrefix="1" applyFont="1" applyBorder="1" applyAlignment="1" applyProtection="1">
      <alignment horizontal="center" vertical="center"/>
      <protection hidden="1"/>
    </xf>
    <xf numFmtId="0" fontId="2" fillId="0" borderId="90" xfId="0" quotePrefix="1" applyFont="1" applyBorder="1" applyAlignment="1" applyProtection="1">
      <alignment horizontal="center" vertical="center"/>
      <protection hidden="1"/>
    </xf>
    <xf numFmtId="0" fontId="2" fillId="0" borderId="140" xfId="0" quotePrefix="1" applyFont="1" applyBorder="1" applyAlignment="1" applyProtection="1">
      <alignment horizontal="center" vertical="center"/>
      <protection hidden="1"/>
    </xf>
    <xf numFmtId="0" fontId="2" fillId="0" borderId="71" xfId="0" quotePrefix="1" applyFont="1" applyBorder="1" applyAlignment="1" applyProtection="1">
      <alignment horizontal="center" vertical="center"/>
      <protection hidden="1"/>
    </xf>
    <xf numFmtId="0" fontId="2" fillId="0" borderId="6" xfId="0" quotePrefix="1" applyFont="1" applyBorder="1" applyAlignment="1" applyProtection="1">
      <alignment horizontal="center" vertical="center"/>
      <protection hidden="1"/>
    </xf>
    <xf numFmtId="0" fontId="2" fillId="0" borderId="142" xfId="0" quotePrefix="1" applyFont="1" applyBorder="1" applyAlignment="1" applyProtection="1">
      <alignment horizontal="center" vertical="center"/>
      <protection hidden="1"/>
    </xf>
    <xf numFmtId="165" fontId="2" fillId="0" borderId="83" xfId="0" quotePrefix="1" applyNumberFormat="1" applyFont="1" applyBorder="1" applyAlignment="1" applyProtection="1">
      <alignment horizontal="center" vertical="center"/>
      <protection hidden="1"/>
    </xf>
    <xf numFmtId="0" fontId="2" fillId="0" borderId="80" xfId="0" quotePrefix="1" applyFont="1" applyBorder="1" applyAlignment="1" applyProtection="1">
      <alignment horizontal="center" vertical="center"/>
      <protection hidden="1"/>
    </xf>
    <xf numFmtId="0" fontId="2" fillId="0" borderId="138" xfId="0" applyFont="1" applyBorder="1" applyAlignment="1">
      <alignment horizontal="center" vertical="center" wrapText="1"/>
    </xf>
    <xf numFmtId="0" fontId="2" fillId="27" borderId="27" xfId="0" applyFont="1" applyFill="1" applyBorder="1" applyAlignment="1" applyProtection="1">
      <alignment horizontal="center"/>
      <protection locked="0" hidden="1"/>
    </xf>
    <xf numFmtId="0" fontId="2" fillId="27" borderId="41" xfId="0" quotePrefix="1" applyFont="1" applyFill="1" applyBorder="1" applyAlignment="1" applyProtection="1">
      <alignment horizontal="center"/>
      <protection hidden="1"/>
    </xf>
    <xf numFmtId="0" fontId="4" fillId="27" borderId="41" xfId="0" quotePrefix="1" applyFont="1" applyFill="1" applyBorder="1" applyAlignment="1" applyProtection="1">
      <alignment horizontal="center" vertical="center"/>
      <protection hidden="1"/>
    </xf>
    <xf numFmtId="164" fontId="4" fillId="27" borderId="41" xfId="0" applyNumberFormat="1" applyFont="1" applyFill="1" applyBorder="1" applyAlignment="1" applyProtection="1">
      <alignment horizontal="center" vertical="center"/>
      <protection hidden="1"/>
    </xf>
    <xf numFmtId="0" fontId="4" fillId="27" borderId="97" xfId="0" quotePrefix="1" applyFont="1" applyFill="1" applyBorder="1" applyAlignment="1" applyProtection="1">
      <alignment horizontal="center" vertical="center"/>
      <protection hidden="1"/>
    </xf>
    <xf numFmtId="0" fontId="4" fillId="27" borderId="98" xfId="0" quotePrefix="1" applyFont="1" applyFill="1" applyBorder="1" applyAlignment="1" applyProtection="1">
      <alignment horizontal="center" vertical="center"/>
      <protection hidden="1"/>
    </xf>
    <xf numFmtId="0" fontId="4" fillId="27" borderId="22" xfId="0" quotePrefix="1" applyFont="1" applyFill="1" applyBorder="1" applyAlignment="1" applyProtection="1">
      <alignment horizontal="center" vertical="center"/>
      <protection locked="0" hidden="1"/>
    </xf>
    <xf numFmtId="0" fontId="4" fillId="27" borderId="99" xfId="0" quotePrefix="1" applyFont="1" applyFill="1" applyBorder="1" applyAlignment="1" applyProtection="1">
      <alignment horizontal="center" vertical="center"/>
      <protection hidden="1"/>
    </xf>
    <xf numFmtId="164" fontId="4" fillId="27" borderId="34" xfId="0" applyNumberFormat="1" applyFont="1" applyFill="1" applyBorder="1" applyAlignment="1" applyProtection="1">
      <alignment horizontal="center" vertical="center"/>
      <protection hidden="1"/>
    </xf>
    <xf numFmtId="164" fontId="2" fillId="27" borderId="36" xfId="0" applyNumberFormat="1" applyFont="1" applyFill="1" applyBorder="1" applyAlignment="1" applyProtection="1">
      <alignment horizontal="center" vertical="center"/>
      <protection hidden="1"/>
    </xf>
    <xf numFmtId="0" fontId="4" fillId="27" borderId="34" xfId="0" quotePrefix="1" applyFont="1" applyFill="1" applyBorder="1" applyAlignment="1" applyProtection="1">
      <alignment horizontal="center"/>
      <protection hidden="1"/>
    </xf>
    <xf numFmtId="0" fontId="2" fillId="27" borderId="36" xfId="0" quotePrefix="1" applyFont="1" applyFill="1" applyBorder="1" applyAlignment="1" applyProtection="1">
      <alignment horizontal="center"/>
      <protection hidden="1"/>
    </xf>
    <xf numFmtId="165" fontId="12" fillId="27" borderId="41" xfId="0" applyNumberFormat="1" applyFont="1" applyFill="1" applyBorder="1" applyAlignment="1" applyProtection="1">
      <alignment horizontal="center" vertical="center"/>
      <protection hidden="1"/>
    </xf>
    <xf numFmtId="165" fontId="12" fillId="27" borderId="34" xfId="0" applyNumberFormat="1" applyFont="1" applyFill="1" applyBorder="1" applyAlignment="1" applyProtection="1">
      <alignment horizontal="center" vertical="center"/>
      <protection hidden="1"/>
    </xf>
    <xf numFmtId="165" fontId="4" fillId="27" borderId="34" xfId="0" applyNumberFormat="1" applyFont="1" applyFill="1" applyBorder="1" applyAlignment="1" applyProtection="1">
      <alignment horizontal="center" vertical="center"/>
      <protection hidden="1"/>
    </xf>
    <xf numFmtId="165" fontId="2" fillId="27" borderId="36" xfId="0" applyNumberFormat="1" applyFont="1" applyFill="1" applyBorder="1" applyAlignment="1" applyProtection="1">
      <alignment horizontal="center" vertical="center"/>
      <protection hidden="1"/>
    </xf>
    <xf numFmtId="0" fontId="4" fillId="27" borderId="41" xfId="0" applyFont="1" applyFill="1" applyBorder="1" applyAlignment="1" applyProtection="1">
      <alignment horizontal="center" vertical="center"/>
      <protection locked="0" hidden="1"/>
    </xf>
    <xf numFmtId="0" fontId="4" fillId="27" borderId="34" xfId="0" applyFont="1" applyFill="1" applyBorder="1" applyAlignment="1" applyProtection="1">
      <alignment horizontal="center" vertical="center"/>
      <protection locked="0" hidden="1"/>
    </xf>
    <xf numFmtId="0" fontId="2" fillId="27" borderId="36" xfId="0" applyFont="1" applyFill="1" applyBorder="1" applyAlignment="1" applyProtection="1">
      <alignment horizontal="center" vertical="center"/>
      <protection locked="0" hidden="1"/>
    </xf>
    <xf numFmtId="0" fontId="4" fillId="27" borderId="73" xfId="0" applyFont="1" applyFill="1" applyBorder="1" applyAlignment="1" applyProtection="1">
      <alignment horizontal="center" vertical="center"/>
      <protection locked="0" hidden="1"/>
    </xf>
    <xf numFmtId="0" fontId="4" fillId="27" borderId="43" xfId="0" applyFont="1" applyFill="1" applyBorder="1" applyAlignment="1">
      <alignment horizontal="center" vertical="center" wrapText="1"/>
    </xf>
    <xf numFmtId="164" fontId="4" fillId="27" borderId="74" xfId="0" applyNumberFormat="1" applyFont="1" applyFill="1" applyBorder="1" applyAlignment="1" applyProtection="1">
      <alignment horizontal="center" vertical="center"/>
      <protection hidden="1"/>
    </xf>
    <xf numFmtId="0" fontId="5" fillId="27" borderId="27" xfId="0" applyFont="1" applyFill="1" applyBorder="1" applyProtection="1">
      <protection locked="0" hidden="1"/>
    </xf>
    <xf numFmtId="165" fontId="2" fillId="0" borderId="56" xfId="0" applyNumberFormat="1" applyFont="1" applyBorder="1" applyAlignment="1">
      <alignment horizontal="center" vertical="center"/>
    </xf>
    <xf numFmtId="1" fontId="2" fillId="0" borderId="77" xfId="0" applyNumberFormat="1" applyFont="1" applyBorder="1" applyAlignment="1">
      <alignment horizontal="center" vertical="center"/>
    </xf>
    <xf numFmtId="1" fontId="2" fillId="0" borderId="81" xfId="0" applyNumberFormat="1" applyFont="1" applyBorder="1" applyAlignment="1">
      <alignment horizontal="center" vertical="center"/>
    </xf>
    <xf numFmtId="165" fontId="2" fillId="0" borderId="57" xfId="0" applyNumberFormat="1" applyFont="1" applyBorder="1" applyAlignment="1">
      <alignment horizontal="center" vertical="center"/>
    </xf>
    <xf numFmtId="0" fontId="2" fillId="0" borderId="57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2" fillId="0" borderId="94" xfId="0" applyFont="1" applyBorder="1" applyAlignment="1">
      <alignment horizontal="center" vertical="center"/>
    </xf>
    <xf numFmtId="0" fontId="2" fillId="0" borderId="95" xfId="0" applyFont="1" applyBorder="1" applyAlignment="1">
      <alignment horizontal="center" vertical="center"/>
    </xf>
    <xf numFmtId="1" fontId="4" fillId="0" borderId="136" xfId="0" applyNumberFormat="1" applyFont="1" applyBorder="1" applyAlignment="1">
      <alignment horizontal="center" vertical="center"/>
    </xf>
    <xf numFmtId="1" fontId="4" fillId="0" borderId="135" xfId="0" applyNumberFormat="1" applyFont="1" applyBorder="1" applyAlignment="1">
      <alignment horizontal="center" vertical="center"/>
    </xf>
    <xf numFmtId="1" fontId="4" fillId="0" borderId="80" xfId="0" applyNumberFormat="1" applyFont="1" applyBorder="1" applyAlignment="1">
      <alignment horizontal="center" vertical="center"/>
    </xf>
    <xf numFmtId="1" fontId="2" fillId="0" borderId="14" xfId="0" quotePrefix="1" applyNumberFormat="1" applyFont="1" applyBorder="1" applyAlignment="1">
      <alignment horizontal="center" vertical="center"/>
    </xf>
    <xf numFmtId="1" fontId="4" fillId="0" borderId="96" xfId="0" applyNumberFormat="1" applyFont="1" applyBorder="1" applyAlignment="1">
      <alignment horizontal="center" vertical="center"/>
    </xf>
    <xf numFmtId="1" fontId="2" fillId="0" borderId="18" xfId="0" applyNumberFormat="1" applyFont="1" applyBorder="1" applyAlignment="1">
      <alignment horizontal="center" vertical="center"/>
    </xf>
    <xf numFmtId="1" fontId="4" fillId="0" borderId="134" xfId="0" applyNumberFormat="1" applyFont="1" applyBorder="1" applyAlignment="1">
      <alignment horizontal="center" vertical="center"/>
    </xf>
    <xf numFmtId="165" fontId="4" fillId="0" borderId="80" xfId="0" applyNumberFormat="1" applyFont="1" applyBorder="1" applyAlignment="1">
      <alignment horizontal="center" vertical="center"/>
    </xf>
    <xf numFmtId="165" fontId="2" fillId="0" borderId="136" xfId="0" applyNumberFormat="1" applyFont="1" applyBorder="1" applyAlignment="1">
      <alignment horizontal="center" vertical="center"/>
    </xf>
    <xf numFmtId="0" fontId="4" fillId="27" borderId="48" xfId="0" applyFont="1" applyFill="1" applyBorder="1"/>
    <xf numFmtId="0" fontId="4" fillId="27" borderId="27" xfId="0" applyFont="1" applyFill="1" applyBorder="1" applyAlignment="1">
      <alignment horizontal="center"/>
    </xf>
    <xf numFmtId="0" fontId="4" fillId="27" borderId="25" xfId="0" applyFont="1" applyFill="1" applyBorder="1" applyAlignment="1">
      <alignment horizontal="center"/>
    </xf>
    <xf numFmtId="0" fontId="4" fillId="27" borderId="53" xfId="0" applyFont="1" applyFill="1" applyBorder="1" applyAlignment="1">
      <alignment horizontal="center"/>
    </xf>
    <xf numFmtId="0" fontId="2" fillId="27" borderId="38" xfId="0" applyFont="1" applyFill="1" applyBorder="1" applyAlignment="1">
      <alignment horizontal="center"/>
    </xf>
    <xf numFmtId="0" fontId="2" fillId="27" borderId="53" xfId="0" applyFont="1" applyFill="1" applyBorder="1" applyAlignment="1">
      <alignment horizontal="center"/>
    </xf>
    <xf numFmtId="0" fontId="4" fillId="27" borderId="134" xfId="0" applyFont="1" applyFill="1" applyBorder="1" applyAlignment="1">
      <alignment horizontal="center"/>
    </xf>
    <xf numFmtId="0" fontId="4" fillId="27" borderId="36" xfId="0" quotePrefix="1" applyFont="1" applyFill="1" applyBorder="1" applyAlignment="1">
      <alignment horizontal="center" vertical="center"/>
    </xf>
    <xf numFmtId="0" fontId="4" fillId="27" borderId="37" xfId="0" applyFont="1" applyFill="1" applyBorder="1" applyAlignment="1">
      <alignment horizontal="center" vertical="center"/>
    </xf>
    <xf numFmtId="0" fontId="4" fillId="27" borderId="21" xfId="0" applyFont="1" applyFill="1" applyBorder="1" applyAlignment="1">
      <alignment horizontal="center" vertical="center"/>
    </xf>
    <xf numFmtId="0" fontId="4" fillId="27" borderId="49" xfId="0" quotePrefix="1" applyFont="1" applyFill="1" applyBorder="1" applyAlignment="1">
      <alignment horizontal="center" vertical="center"/>
    </xf>
    <xf numFmtId="0" fontId="4" fillId="27" borderId="20" xfId="0" quotePrefix="1" applyFont="1" applyFill="1" applyBorder="1" applyAlignment="1">
      <alignment horizontal="center" vertical="center"/>
    </xf>
    <xf numFmtId="0" fontId="4" fillId="27" borderId="44" xfId="0" quotePrefix="1" applyFont="1" applyFill="1" applyBorder="1" applyAlignment="1">
      <alignment horizontal="center" vertical="center"/>
    </xf>
    <xf numFmtId="0" fontId="4" fillId="27" borderId="22" xfId="0" quotePrefix="1" applyFont="1" applyFill="1" applyBorder="1" applyAlignment="1">
      <alignment horizontal="center" vertical="center"/>
    </xf>
    <xf numFmtId="0" fontId="4" fillId="27" borderId="103" xfId="0" quotePrefix="1" applyFont="1" applyFill="1" applyBorder="1" applyAlignment="1">
      <alignment horizontal="center" vertical="center"/>
    </xf>
    <xf numFmtId="0" fontId="4" fillId="27" borderId="93" xfId="0" quotePrefix="1" applyFont="1" applyFill="1" applyBorder="1" applyAlignment="1">
      <alignment horizontal="center" vertical="center"/>
    </xf>
    <xf numFmtId="0" fontId="2" fillId="27" borderId="20" xfId="0" quotePrefix="1" applyFont="1" applyFill="1" applyBorder="1" applyAlignment="1">
      <alignment horizontal="center" vertical="center"/>
    </xf>
    <xf numFmtId="0" fontId="2" fillId="27" borderId="22" xfId="0" quotePrefix="1" applyFont="1" applyFill="1" applyBorder="1" applyAlignment="1">
      <alignment horizontal="center" vertical="center"/>
    </xf>
    <xf numFmtId="0" fontId="2" fillId="27" borderId="93" xfId="0" quotePrefix="1" applyFont="1" applyFill="1" applyBorder="1" applyAlignment="1">
      <alignment horizontal="center" vertical="center"/>
    </xf>
    <xf numFmtId="0" fontId="4" fillId="27" borderId="134" xfId="0" applyFont="1" applyFill="1" applyBorder="1" applyAlignment="1">
      <alignment horizontal="center" vertical="center"/>
    </xf>
    <xf numFmtId="165" fontId="5" fillId="27" borderId="36" xfId="0" applyNumberFormat="1" applyFont="1" applyFill="1" applyBorder="1" applyAlignment="1">
      <alignment horizontal="center" vertical="center"/>
    </xf>
    <xf numFmtId="165" fontId="5" fillId="27" borderId="27" xfId="0" applyNumberFormat="1" applyFont="1" applyFill="1" applyBorder="1" applyAlignment="1">
      <alignment horizontal="center" vertical="center"/>
    </xf>
    <xf numFmtId="165" fontId="5" fillId="27" borderId="34" xfId="0" applyNumberFormat="1" applyFont="1" applyFill="1" applyBorder="1" applyAlignment="1">
      <alignment horizontal="center" vertical="center"/>
    </xf>
    <xf numFmtId="165" fontId="2" fillId="27" borderId="34" xfId="0" applyNumberFormat="1" applyFont="1" applyFill="1" applyBorder="1" applyAlignment="1">
      <alignment horizontal="center" vertical="center"/>
    </xf>
    <xf numFmtId="165" fontId="5" fillId="27" borderId="134" xfId="0" applyNumberFormat="1" applyFont="1" applyFill="1" applyBorder="1" applyAlignment="1">
      <alignment horizontal="center" vertical="center"/>
    </xf>
    <xf numFmtId="165" fontId="5" fillId="27" borderId="73" xfId="0" applyNumberFormat="1" applyFont="1" applyFill="1" applyBorder="1" applyAlignment="1">
      <alignment horizontal="center" vertical="center"/>
    </xf>
    <xf numFmtId="1" fontId="4" fillId="27" borderId="36" xfId="0" applyNumberFormat="1" applyFont="1" applyFill="1" applyBorder="1" applyAlignment="1">
      <alignment horizontal="center" vertical="center"/>
    </xf>
    <xf numFmtId="1" fontId="4" fillId="27" borderId="27" xfId="0" applyNumberFormat="1" applyFont="1" applyFill="1" applyBorder="1" applyAlignment="1">
      <alignment horizontal="center" vertical="center"/>
    </xf>
    <xf numFmtId="0" fontId="4" fillId="27" borderId="26" xfId="0" applyFont="1" applyFill="1" applyBorder="1" applyAlignment="1">
      <alignment horizontal="center" vertical="center"/>
    </xf>
    <xf numFmtId="0" fontId="4" fillId="27" borderId="34" xfId="0" applyFont="1" applyFill="1" applyBorder="1" applyAlignment="1">
      <alignment horizontal="center" vertical="center"/>
    </xf>
    <xf numFmtId="0" fontId="2" fillId="27" borderId="34" xfId="0" applyFont="1" applyFill="1" applyBorder="1" applyAlignment="1">
      <alignment horizontal="center" vertical="center"/>
    </xf>
    <xf numFmtId="0" fontId="4" fillId="27" borderId="73" xfId="0" applyFont="1" applyFill="1" applyBorder="1" applyAlignment="1">
      <alignment horizontal="center" vertical="center"/>
    </xf>
    <xf numFmtId="0" fontId="4" fillId="27" borderId="60" xfId="0" applyFont="1" applyFill="1" applyBorder="1" applyAlignment="1">
      <alignment horizontal="center" vertical="center"/>
    </xf>
    <xf numFmtId="0" fontId="4" fillId="27" borderId="47" xfId="0" applyFont="1" applyFill="1" applyBorder="1" applyAlignment="1">
      <alignment horizontal="center" vertical="center"/>
    </xf>
    <xf numFmtId="0" fontId="4" fillId="27" borderId="32" xfId="0" applyFont="1" applyFill="1" applyBorder="1" applyAlignment="1">
      <alignment horizontal="center" vertical="center"/>
    </xf>
    <xf numFmtId="0" fontId="4" fillId="27" borderId="131" xfId="0" applyFont="1" applyFill="1" applyBorder="1" applyAlignment="1">
      <alignment horizontal="center" vertical="center"/>
    </xf>
    <xf numFmtId="0" fontId="5" fillId="27" borderId="36" xfId="0" applyFont="1" applyFill="1" applyBorder="1" applyAlignment="1">
      <alignment horizontal="center" vertical="center"/>
    </xf>
    <xf numFmtId="0" fontId="5" fillId="27" borderId="34" xfId="0" applyFont="1" applyFill="1" applyBorder="1" applyAlignment="1">
      <alignment horizontal="center" vertical="center"/>
    </xf>
    <xf numFmtId="0" fontId="5" fillId="27" borderId="73" xfId="0" applyFont="1" applyFill="1" applyBorder="1" applyAlignment="1">
      <alignment horizontal="center" vertical="center"/>
    </xf>
    <xf numFmtId="1" fontId="4" fillId="27" borderId="27" xfId="0" quotePrefix="1" applyNumberFormat="1" applyFont="1" applyFill="1" applyBorder="1" applyAlignment="1" applyProtection="1">
      <alignment horizontal="center"/>
      <protection hidden="1"/>
    </xf>
    <xf numFmtId="0" fontId="0" fillId="27" borderId="0" xfId="0" applyFill="1"/>
    <xf numFmtId="0" fontId="46" fillId="27" borderId="0" xfId="0" applyFont="1" applyFill="1"/>
    <xf numFmtId="0" fontId="46" fillId="27" borderId="134" xfId="0" applyFont="1" applyFill="1" applyBorder="1"/>
    <xf numFmtId="165" fontId="2" fillId="0" borderId="85" xfId="0" applyNumberFormat="1" applyFont="1" applyBorder="1" applyAlignment="1">
      <alignment horizontal="center" vertical="center"/>
    </xf>
    <xf numFmtId="1" fontId="2" fillId="0" borderId="87" xfId="0" applyNumberFormat="1" applyFont="1" applyBorder="1" applyAlignment="1">
      <alignment horizontal="center" vertical="center"/>
    </xf>
    <xf numFmtId="1" fontId="2" fillId="0" borderId="85" xfId="0" applyNumberFormat="1" applyFont="1" applyBorder="1" applyAlignment="1">
      <alignment horizontal="center" vertical="center"/>
    </xf>
    <xf numFmtId="1" fontId="2" fillId="0" borderId="31" xfId="0" applyNumberFormat="1" applyFont="1" applyBorder="1" applyAlignment="1">
      <alignment horizontal="center" vertical="center"/>
    </xf>
    <xf numFmtId="1" fontId="2" fillId="0" borderId="70" xfId="0" applyNumberFormat="1" applyFont="1" applyBorder="1" applyAlignment="1">
      <alignment horizontal="center" vertical="center"/>
    </xf>
    <xf numFmtId="1" fontId="2" fillId="0" borderId="117" xfId="0" applyNumberFormat="1" applyFont="1" applyBorder="1" applyAlignment="1">
      <alignment horizontal="center" vertical="center"/>
    </xf>
    <xf numFmtId="165" fontId="2" fillId="0" borderId="117" xfId="0" applyNumberFormat="1" applyFont="1" applyBorder="1" applyAlignment="1">
      <alignment horizontal="center" vertical="center"/>
    </xf>
    <xf numFmtId="165" fontId="2" fillId="0" borderId="89" xfId="0" applyNumberFormat="1" applyFont="1" applyBorder="1" applyAlignment="1">
      <alignment horizontal="center" vertical="center"/>
    </xf>
    <xf numFmtId="165" fontId="2" fillId="0" borderId="85" xfId="0" quotePrefix="1" applyNumberFormat="1" applyFont="1" applyBorder="1" applyAlignment="1">
      <alignment horizontal="center" vertical="center"/>
    </xf>
    <xf numFmtId="165" fontId="2" fillId="0" borderId="117" xfId="0" quotePrefix="1" applyNumberFormat="1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1" fontId="2" fillId="0" borderId="13" xfId="0" quotePrefix="1" applyNumberFormat="1" applyFont="1" applyBorder="1" applyAlignment="1">
      <alignment horizontal="center" vertical="center"/>
    </xf>
    <xf numFmtId="0" fontId="2" fillId="0" borderId="89" xfId="0" applyFont="1" applyBorder="1" applyAlignment="1">
      <alignment horizontal="center" vertical="center"/>
    </xf>
    <xf numFmtId="0" fontId="2" fillId="0" borderId="85" xfId="0" applyFont="1" applyBorder="1" applyAlignment="1">
      <alignment horizontal="center" vertical="center"/>
    </xf>
    <xf numFmtId="0" fontId="2" fillId="0" borderId="132" xfId="0" applyFont="1" applyBorder="1" applyAlignment="1">
      <alignment horizontal="center" vertical="center"/>
    </xf>
    <xf numFmtId="0" fontId="2" fillId="27" borderId="36" xfId="0" applyFont="1" applyFill="1" applyBorder="1" applyAlignment="1">
      <alignment horizontal="center" vertical="center"/>
    </xf>
    <xf numFmtId="0" fontId="2" fillId="27" borderId="27" xfId="0" applyFont="1" applyFill="1" applyBorder="1" applyAlignment="1">
      <alignment horizontal="center" vertical="center"/>
    </xf>
    <xf numFmtId="0" fontId="2" fillId="27" borderId="73" xfId="0" applyFont="1" applyFill="1" applyBorder="1" applyAlignment="1">
      <alignment horizontal="center" vertical="center"/>
    </xf>
    <xf numFmtId="0" fontId="2" fillId="27" borderId="38" xfId="0" applyFont="1" applyFill="1" applyBorder="1" applyAlignment="1">
      <alignment horizontal="center" vertical="center"/>
    </xf>
    <xf numFmtId="0" fontId="2" fillId="27" borderId="131" xfId="0" applyFont="1" applyFill="1" applyBorder="1" applyAlignment="1">
      <alignment horizontal="center" vertical="center"/>
    </xf>
    <xf numFmtId="0" fontId="2" fillId="27" borderId="35" xfId="0" applyFont="1" applyFill="1" applyBorder="1" applyAlignment="1">
      <alignment horizontal="center" vertical="center"/>
    </xf>
    <xf numFmtId="0" fontId="4" fillId="27" borderId="48" xfId="0" applyFont="1" applyFill="1" applyBorder="1" applyAlignment="1">
      <alignment horizontal="center"/>
    </xf>
    <xf numFmtId="0" fontId="2" fillId="27" borderId="34" xfId="0" applyFont="1" applyFill="1" applyBorder="1" applyAlignment="1">
      <alignment horizontal="center"/>
    </xf>
    <xf numFmtId="0" fontId="2" fillId="27" borderId="0" xfId="0" applyFont="1" applyFill="1" applyAlignment="1">
      <alignment horizontal="center"/>
    </xf>
    <xf numFmtId="0" fontId="2" fillId="27" borderId="7" xfId="0" applyFont="1" applyFill="1" applyBorder="1" applyAlignment="1">
      <alignment horizontal="center"/>
    </xf>
    <xf numFmtId="0" fontId="2" fillId="27" borderId="134" xfId="0" applyFont="1" applyFill="1" applyBorder="1" applyAlignment="1">
      <alignment horizontal="center"/>
    </xf>
    <xf numFmtId="0" fontId="4" fillId="27" borderId="37" xfId="0" quotePrefix="1" applyFont="1" applyFill="1" applyBorder="1" applyAlignment="1">
      <alignment horizontal="center" vertical="center"/>
    </xf>
    <xf numFmtId="0" fontId="4" fillId="27" borderId="21" xfId="0" quotePrefix="1" applyFont="1" applyFill="1" applyBorder="1" applyAlignment="1">
      <alignment horizontal="center" vertical="center"/>
    </xf>
    <xf numFmtId="0" fontId="2" fillId="27" borderId="34" xfId="0" quotePrefix="1" applyFont="1" applyFill="1" applyBorder="1" applyAlignment="1">
      <alignment horizontal="center" vertical="center"/>
    </xf>
    <xf numFmtId="0" fontId="2" fillId="27" borderId="29" xfId="0" quotePrefix="1" applyFont="1" applyFill="1" applyBorder="1" applyAlignment="1">
      <alignment horizontal="center" vertical="center"/>
    </xf>
    <xf numFmtId="0" fontId="2" fillId="27" borderId="0" xfId="0" applyFont="1" applyFill="1" applyAlignment="1">
      <alignment horizontal="center" vertical="center"/>
    </xf>
    <xf numFmtId="0" fontId="2" fillId="27" borderId="134" xfId="0" applyFont="1" applyFill="1" applyBorder="1" applyAlignment="1">
      <alignment horizontal="center" vertical="center"/>
    </xf>
    <xf numFmtId="165" fontId="2" fillId="0" borderId="101" xfId="0" applyNumberFormat="1" applyFont="1" applyBorder="1" applyAlignment="1">
      <alignment horizontal="center" vertical="center"/>
    </xf>
    <xf numFmtId="165" fontId="2" fillId="0" borderId="101" xfId="0" quotePrefix="1" applyNumberFormat="1" applyFont="1" applyBorder="1" applyAlignment="1">
      <alignment horizontal="center" vertical="center"/>
    </xf>
    <xf numFmtId="1" fontId="2" fillId="0" borderId="88" xfId="0" applyNumberFormat="1" applyFont="1" applyBorder="1" applyAlignment="1">
      <alignment horizontal="center" vertical="center"/>
    </xf>
    <xf numFmtId="165" fontId="2" fillId="0" borderId="84" xfId="0" applyNumberFormat="1" applyFont="1" applyBorder="1" applyAlignment="1">
      <alignment horizontal="center" vertical="center"/>
    </xf>
    <xf numFmtId="1" fontId="2" fillId="0" borderId="86" xfId="0" applyNumberFormat="1" applyFont="1" applyBorder="1" applyAlignment="1">
      <alignment horizontal="center" vertical="center"/>
    </xf>
    <xf numFmtId="1" fontId="2" fillId="0" borderId="84" xfId="0" applyNumberFormat="1" applyFont="1" applyBorder="1" applyAlignment="1">
      <alignment horizontal="center" vertical="center"/>
    </xf>
    <xf numFmtId="1" fontId="2" fillId="0" borderId="84" xfId="0" quotePrefix="1" applyNumberFormat="1" applyFont="1" applyBorder="1" applyAlignment="1">
      <alignment horizontal="center" vertical="center"/>
    </xf>
    <xf numFmtId="1" fontId="2" fillId="0" borderId="101" xfId="0" applyNumberFormat="1" applyFont="1" applyBorder="1" applyAlignment="1">
      <alignment horizontal="center" vertical="center"/>
    </xf>
    <xf numFmtId="165" fontId="2" fillId="0" borderId="88" xfId="0" applyNumberFormat="1" applyFont="1" applyBorder="1" applyAlignment="1">
      <alignment horizontal="center" vertical="center"/>
    </xf>
    <xf numFmtId="0" fontId="2" fillId="0" borderId="88" xfId="0" quotePrefix="1" applyFont="1" applyBorder="1" applyAlignment="1">
      <alignment horizontal="center" vertical="center"/>
    </xf>
    <xf numFmtId="0" fontId="2" fillId="0" borderId="86" xfId="0" applyFont="1" applyBorder="1" applyAlignment="1">
      <alignment horizontal="center" vertical="center"/>
    </xf>
    <xf numFmtId="1" fontId="2" fillId="0" borderId="80" xfId="0" applyNumberFormat="1" applyFont="1" applyBorder="1" applyAlignment="1">
      <alignment horizontal="center" vertical="center"/>
    </xf>
    <xf numFmtId="1" fontId="4" fillId="27" borderId="27" xfId="0" quotePrefix="1" applyNumberFormat="1" applyFont="1" applyFill="1" applyBorder="1" applyAlignment="1" applyProtection="1">
      <alignment horizontal="center" vertical="center"/>
      <protection hidden="1"/>
    </xf>
    <xf numFmtId="49" fontId="0" fillId="27" borderId="0" xfId="0" applyNumberFormat="1" applyFill="1" applyAlignment="1">
      <alignment horizontal="left"/>
    </xf>
    <xf numFmtId="49" fontId="0" fillId="27" borderId="34" xfId="0" applyNumberFormat="1" applyFill="1" applyBorder="1" applyAlignment="1">
      <alignment horizontal="left"/>
    </xf>
    <xf numFmtId="49" fontId="0" fillId="27" borderId="134" xfId="0" applyNumberFormat="1" applyFill="1" applyBorder="1" applyAlignment="1">
      <alignment horizontal="left"/>
    </xf>
    <xf numFmtId="0" fontId="4" fillId="27" borderId="48" xfId="0" applyFont="1" applyFill="1" applyBorder="1" applyAlignment="1">
      <alignment vertical="center"/>
    </xf>
    <xf numFmtId="0" fontId="4" fillId="27" borderId="48" xfId="0" applyFont="1" applyFill="1" applyBorder="1" applyAlignment="1">
      <alignment horizontal="center" vertical="center"/>
    </xf>
    <xf numFmtId="0" fontId="4" fillId="27" borderId="27" xfId="0" applyFont="1" applyFill="1" applyBorder="1" applyAlignment="1">
      <alignment horizontal="center" vertical="center"/>
    </xf>
    <xf numFmtId="0" fontId="2" fillId="27" borderId="0" xfId="0" quotePrefix="1" applyFont="1" applyFill="1" applyAlignment="1">
      <alignment horizontal="center" vertical="center"/>
    </xf>
    <xf numFmtId="0" fontId="2" fillId="0" borderId="73" xfId="0" applyFont="1" applyBorder="1" applyAlignment="1">
      <alignment horizontal="center" vertical="center"/>
    </xf>
    <xf numFmtId="165" fontId="2" fillId="0" borderId="58" xfId="0" applyNumberFormat="1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92" xfId="0" applyFont="1" applyBorder="1" applyAlignment="1">
      <alignment horizontal="center" vertical="center"/>
    </xf>
    <xf numFmtId="1" fontId="2" fillId="0" borderId="76" xfId="0" applyNumberFormat="1" applyFont="1" applyBorder="1" applyAlignment="1">
      <alignment horizontal="center" vertical="center"/>
    </xf>
    <xf numFmtId="1" fontId="2" fillId="0" borderId="28" xfId="0" quotePrefix="1" applyNumberFormat="1" applyFont="1" applyBorder="1" applyAlignment="1">
      <alignment horizontal="center" vertical="center"/>
    </xf>
    <xf numFmtId="165" fontId="2" fillId="0" borderId="54" xfId="0" applyNumberFormat="1" applyFont="1" applyBorder="1" applyAlignment="1">
      <alignment horizontal="center" vertical="center"/>
    </xf>
    <xf numFmtId="1" fontId="2" fillId="0" borderId="79" xfId="0" applyNumberFormat="1" applyFont="1" applyBorder="1" applyAlignment="1">
      <alignment horizontal="center" vertical="center"/>
    </xf>
    <xf numFmtId="165" fontId="2" fillId="0" borderId="96" xfId="0" applyNumberFormat="1" applyFont="1" applyBorder="1" applyAlignment="1">
      <alignment horizontal="center" vertical="center"/>
    </xf>
    <xf numFmtId="1" fontId="2" fillId="0" borderId="135" xfId="0" applyNumberFormat="1" applyFont="1" applyBorder="1" applyAlignment="1">
      <alignment horizontal="center" vertical="center"/>
    </xf>
    <xf numFmtId="1" fontId="2" fillId="0" borderId="96" xfId="0" applyNumberFormat="1" applyFont="1" applyBorder="1" applyAlignment="1">
      <alignment horizontal="center" vertical="center"/>
    </xf>
    <xf numFmtId="1" fontId="2" fillId="0" borderId="96" xfId="0" quotePrefix="1" applyNumberFormat="1" applyFont="1" applyBorder="1" applyAlignment="1">
      <alignment horizontal="center" vertical="center"/>
    </xf>
    <xf numFmtId="1" fontId="2" fillId="0" borderId="136" xfId="0" applyNumberFormat="1" applyFont="1" applyBorder="1" applyAlignment="1">
      <alignment horizontal="center" vertical="center"/>
    </xf>
    <xf numFmtId="165" fontId="2" fillId="0" borderId="79" xfId="0" applyNumberFormat="1" applyFont="1" applyBorder="1" applyAlignment="1">
      <alignment horizontal="center" vertical="center"/>
    </xf>
    <xf numFmtId="0" fontId="2" fillId="0" borderId="79" xfId="0" quotePrefix="1" applyFont="1" applyBorder="1" applyAlignment="1">
      <alignment horizontal="center" vertical="center"/>
    </xf>
    <xf numFmtId="0" fontId="2" fillId="0" borderId="96" xfId="0" applyFont="1" applyBorder="1" applyAlignment="1">
      <alignment horizontal="center" vertical="center"/>
    </xf>
    <xf numFmtId="0" fontId="2" fillId="0" borderId="137" xfId="0" applyFont="1" applyBorder="1" applyAlignment="1">
      <alignment horizontal="center" vertical="center"/>
    </xf>
    <xf numFmtId="0" fontId="4" fillId="27" borderId="36" xfId="0" applyFont="1" applyFill="1" applyBorder="1" applyAlignment="1">
      <alignment horizontal="center" vertical="center"/>
    </xf>
    <xf numFmtId="0" fontId="2" fillId="27" borderId="54" xfId="0" applyFont="1" applyFill="1" applyBorder="1" applyAlignment="1">
      <alignment horizontal="center" vertical="center"/>
    </xf>
    <xf numFmtId="0" fontId="2" fillId="27" borderId="7" xfId="0" applyFont="1" applyFill="1" applyBorder="1" applyAlignment="1">
      <alignment horizontal="center" vertical="center"/>
    </xf>
    <xf numFmtId="0" fontId="2" fillId="27" borderId="71" xfId="0" quotePrefix="1" applyFont="1" applyFill="1" applyBorder="1" applyAlignment="1">
      <alignment horizontal="center" vertical="center"/>
    </xf>
    <xf numFmtId="0" fontId="2" fillId="27" borderId="80" xfId="0" quotePrefix="1" applyFont="1" applyFill="1" applyBorder="1" applyAlignment="1">
      <alignment horizontal="center" vertical="center"/>
    </xf>
    <xf numFmtId="165" fontId="5" fillId="27" borderId="54" xfId="0" applyNumberFormat="1" applyFont="1" applyFill="1" applyBorder="1" applyAlignment="1">
      <alignment horizontal="center" vertical="center"/>
    </xf>
    <xf numFmtId="165" fontId="5" fillId="27" borderId="35" xfId="0" applyNumberFormat="1" applyFont="1" applyFill="1" applyBorder="1" applyAlignment="1">
      <alignment horizontal="center" vertical="center"/>
    </xf>
    <xf numFmtId="165" fontId="5" fillId="27" borderId="0" xfId="0" applyNumberFormat="1" applyFont="1" applyFill="1" applyAlignment="1">
      <alignment horizontal="center" vertical="center"/>
    </xf>
    <xf numFmtId="0" fontId="2" fillId="0" borderId="89" xfId="0" quotePrefix="1" applyFont="1" applyBorder="1" applyAlignment="1">
      <alignment horizontal="center" vertical="center"/>
    </xf>
    <xf numFmtId="1" fontId="2" fillId="28" borderId="13" xfId="0" applyNumberFormat="1" applyFont="1" applyFill="1" applyBorder="1" applyAlignment="1">
      <alignment horizontal="center" vertical="center"/>
    </xf>
    <xf numFmtId="1" fontId="2" fillId="28" borderId="89" xfId="0" applyNumberFormat="1" applyFont="1" applyFill="1" applyBorder="1" applyAlignment="1">
      <alignment horizontal="center" vertical="center"/>
    </xf>
    <xf numFmtId="165" fontId="2" fillId="28" borderId="14" xfId="0" applyNumberFormat="1" applyFont="1" applyFill="1" applyBorder="1" applyAlignment="1">
      <alignment horizontal="center" vertical="center"/>
    </xf>
    <xf numFmtId="165" fontId="2" fillId="28" borderId="85" xfId="0" applyNumberFormat="1" applyFont="1" applyFill="1" applyBorder="1" applyAlignment="1">
      <alignment horizontal="center" vertical="center"/>
    </xf>
    <xf numFmtId="1" fontId="2" fillId="28" borderId="6" xfId="0" applyNumberFormat="1" applyFont="1" applyFill="1" applyBorder="1" applyAlignment="1" applyProtection="1">
      <alignment horizontal="center" vertical="center"/>
      <protection hidden="1"/>
    </xf>
    <xf numFmtId="1" fontId="2" fillId="28" borderId="87" xfId="0" applyNumberFormat="1" applyFont="1" applyFill="1" applyBorder="1" applyAlignment="1" applyProtection="1">
      <alignment horizontal="center" vertical="center"/>
      <protection hidden="1"/>
    </xf>
    <xf numFmtId="1" fontId="2" fillId="28" borderId="6" xfId="0" applyNumberFormat="1" applyFont="1" applyFill="1" applyBorder="1" applyAlignment="1">
      <alignment horizontal="center" vertical="center"/>
    </xf>
    <xf numFmtId="1" fontId="2" fillId="28" borderId="87" xfId="0" applyNumberFormat="1" applyFont="1" applyFill="1" applyBorder="1" applyAlignment="1">
      <alignment horizontal="center" vertical="center"/>
    </xf>
    <xf numFmtId="1" fontId="2" fillId="28" borderId="14" xfId="0" applyNumberFormat="1" applyFont="1" applyFill="1" applyBorder="1" applyAlignment="1">
      <alignment horizontal="center" vertical="center"/>
    </xf>
    <xf numFmtId="1" fontId="2" fillId="28" borderId="85" xfId="0" applyNumberFormat="1" applyFont="1" applyFill="1" applyBorder="1" applyAlignment="1">
      <alignment horizontal="center" vertical="center"/>
    </xf>
    <xf numFmtId="1" fontId="2" fillId="28" borderId="31" xfId="0" applyNumberFormat="1" applyFont="1" applyFill="1" applyBorder="1" applyAlignment="1">
      <alignment horizontal="center" vertical="center"/>
    </xf>
    <xf numFmtId="1" fontId="2" fillId="28" borderId="78" xfId="0" applyNumberFormat="1" applyFont="1" applyFill="1" applyBorder="1" applyAlignment="1">
      <alignment horizontal="center" vertical="center"/>
    </xf>
    <xf numFmtId="1" fontId="2" fillId="28" borderId="117" xfId="0" applyNumberFormat="1" applyFont="1" applyFill="1" applyBorder="1" applyAlignment="1">
      <alignment horizontal="center" vertical="center"/>
    </xf>
    <xf numFmtId="165" fontId="2" fillId="28" borderId="78" xfId="0" applyNumberFormat="1" applyFont="1" applyFill="1" applyBorder="1" applyAlignment="1">
      <alignment horizontal="center" vertical="center"/>
    </xf>
    <xf numFmtId="165" fontId="2" fillId="28" borderId="117" xfId="0" applyNumberFormat="1" applyFont="1" applyFill="1" applyBorder="1" applyAlignment="1">
      <alignment horizontal="center" vertical="center"/>
    </xf>
    <xf numFmtId="0" fontId="2" fillId="27" borderId="27" xfId="0" quotePrefix="1" applyFont="1" applyFill="1" applyBorder="1" applyAlignment="1" applyProtection="1">
      <alignment horizontal="center" vertical="center"/>
      <protection locked="0" hidden="1"/>
    </xf>
    <xf numFmtId="1" fontId="2" fillId="27" borderId="27" xfId="0" quotePrefix="1" applyNumberFormat="1" applyFont="1" applyFill="1" applyBorder="1" applyAlignment="1" applyProtection="1">
      <alignment horizontal="center" vertical="center"/>
      <protection hidden="1"/>
    </xf>
    <xf numFmtId="0" fontId="2" fillId="27" borderId="60" xfId="0" applyFont="1" applyFill="1" applyBorder="1" applyAlignment="1">
      <alignment horizontal="center" vertical="center"/>
    </xf>
    <xf numFmtId="0" fontId="2" fillId="27" borderId="47" xfId="0" applyFont="1" applyFill="1" applyBorder="1" applyAlignment="1">
      <alignment horizontal="center" vertical="center"/>
    </xf>
    <xf numFmtId="1" fontId="2" fillId="0" borderId="6" xfId="0" quotePrefix="1" applyNumberFormat="1" applyFont="1" applyBorder="1" applyAlignment="1">
      <alignment horizontal="center" vertical="center"/>
    </xf>
    <xf numFmtId="1" fontId="2" fillId="28" borderId="6" xfId="0" quotePrefix="1" applyNumberFormat="1" applyFont="1" applyFill="1" applyBorder="1" applyAlignment="1">
      <alignment horizontal="center" vertical="center"/>
    </xf>
    <xf numFmtId="1" fontId="2" fillId="28" borderId="87" xfId="0" quotePrefix="1" applyNumberFormat="1" applyFont="1" applyFill="1" applyBorder="1" applyAlignment="1">
      <alignment horizontal="center" vertical="center"/>
    </xf>
    <xf numFmtId="1" fontId="2" fillId="27" borderId="36" xfId="0" applyNumberFormat="1" applyFont="1" applyFill="1" applyBorder="1" applyAlignment="1">
      <alignment horizontal="center" vertical="center"/>
    </xf>
    <xf numFmtId="1" fontId="2" fillId="27" borderId="27" xfId="0" applyNumberFormat="1" applyFont="1" applyFill="1" applyBorder="1" applyAlignment="1">
      <alignment horizontal="center" vertical="center"/>
    </xf>
    <xf numFmtId="1" fontId="2" fillId="27" borderId="34" xfId="0" applyNumberFormat="1" applyFont="1" applyFill="1" applyBorder="1" applyAlignment="1">
      <alignment horizontal="center" vertical="center"/>
    </xf>
    <xf numFmtId="165" fontId="2" fillId="27" borderId="73" xfId="0" applyNumberFormat="1" applyFont="1" applyFill="1" applyBorder="1" applyAlignment="1">
      <alignment horizontal="center" vertical="center"/>
    </xf>
    <xf numFmtId="0" fontId="2" fillId="27" borderId="48" xfId="0" applyFont="1" applyFill="1" applyBorder="1"/>
    <xf numFmtId="0" fontId="2" fillId="27" borderId="48" xfId="0" applyFont="1" applyFill="1" applyBorder="1" applyAlignment="1">
      <alignment horizontal="center"/>
    </xf>
    <xf numFmtId="0" fontId="2" fillId="27" borderId="19" xfId="0" applyFont="1" applyFill="1" applyBorder="1" applyAlignment="1">
      <alignment horizontal="center"/>
    </xf>
    <xf numFmtId="0" fontId="2" fillId="27" borderId="34" xfId="0" quotePrefix="1" applyFont="1" applyFill="1" applyBorder="1" applyAlignment="1">
      <alignment horizontal="center"/>
    </xf>
    <xf numFmtId="0" fontId="2" fillId="27" borderId="73" xfId="0" applyFont="1" applyFill="1" applyBorder="1" applyAlignment="1">
      <alignment horizontal="center"/>
    </xf>
    <xf numFmtId="0" fontId="2" fillId="27" borderId="36" xfId="0" quotePrefix="1" applyFont="1" applyFill="1" applyBorder="1" applyAlignment="1">
      <alignment horizontal="center" vertical="center"/>
    </xf>
    <xf numFmtId="0" fontId="2" fillId="27" borderId="27" xfId="0" quotePrefix="1" applyFont="1" applyFill="1" applyBorder="1" applyAlignment="1">
      <alignment horizontal="center" vertical="center"/>
    </xf>
    <xf numFmtId="0" fontId="2" fillId="27" borderId="37" xfId="0" applyFont="1" applyFill="1" applyBorder="1" applyAlignment="1">
      <alignment horizontal="center"/>
    </xf>
    <xf numFmtId="0" fontId="2" fillId="27" borderId="21" xfId="0" applyFont="1" applyFill="1" applyBorder="1" applyAlignment="1">
      <alignment horizontal="center"/>
    </xf>
    <xf numFmtId="0" fontId="2" fillId="27" borderId="49" xfId="0" quotePrefix="1" applyFont="1" applyFill="1" applyBorder="1" applyAlignment="1">
      <alignment horizontal="center" vertical="center"/>
    </xf>
    <xf numFmtId="0" fontId="2" fillId="27" borderId="44" xfId="0" quotePrefix="1" applyFont="1" applyFill="1" applyBorder="1" applyAlignment="1">
      <alignment horizontal="center" vertical="center"/>
    </xf>
    <xf numFmtId="0" fontId="2" fillId="27" borderId="37" xfId="0" quotePrefix="1" applyFont="1" applyFill="1" applyBorder="1" applyAlignment="1">
      <alignment horizontal="center" vertical="center"/>
    </xf>
    <xf numFmtId="0" fontId="2" fillId="27" borderId="21" xfId="0" quotePrefix="1" applyFont="1" applyFill="1" applyBorder="1" applyAlignment="1">
      <alignment horizontal="center" vertical="center"/>
    </xf>
    <xf numFmtId="0" fontId="2" fillId="27" borderId="73" xfId="0" quotePrefix="1" applyFont="1" applyFill="1" applyBorder="1" applyAlignment="1">
      <alignment horizontal="center"/>
    </xf>
    <xf numFmtId="165" fontId="4" fillId="0" borderId="87" xfId="0" applyNumberFormat="1" applyFont="1" applyBorder="1" applyAlignment="1" applyProtection="1">
      <alignment horizontal="center" vertical="center"/>
      <protection hidden="1"/>
    </xf>
    <xf numFmtId="0" fontId="2" fillId="0" borderId="52" xfId="0" quotePrefix="1" applyFont="1" applyBorder="1" applyAlignment="1" applyProtection="1">
      <alignment horizontal="center" vertical="center"/>
      <protection hidden="1"/>
    </xf>
    <xf numFmtId="0" fontId="4" fillId="27" borderId="54" xfId="0" applyFont="1" applyFill="1" applyBorder="1" applyAlignment="1" applyProtection="1">
      <alignment horizontal="center" vertical="center"/>
      <protection hidden="1"/>
    </xf>
    <xf numFmtId="0" fontId="4" fillId="27" borderId="17" xfId="0" applyFont="1" applyFill="1" applyBorder="1" applyAlignment="1" applyProtection="1">
      <alignment horizontal="center" vertical="center"/>
      <protection hidden="1"/>
    </xf>
    <xf numFmtId="0" fontId="4" fillId="27" borderId="52" xfId="0" applyFont="1" applyFill="1" applyBorder="1" applyAlignment="1" applyProtection="1">
      <alignment horizontal="center" vertical="center"/>
      <protection hidden="1"/>
    </xf>
    <xf numFmtId="1" fontId="4" fillId="27" borderId="36" xfId="0" applyNumberFormat="1" applyFont="1" applyFill="1" applyBorder="1" applyAlignment="1" applyProtection="1">
      <alignment vertical="center"/>
      <protection hidden="1"/>
    </xf>
    <xf numFmtId="1" fontId="4" fillId="27" borderId="54" xfId="0" applyNumberFormat="1" applyFont="1" applyFill="1" applyBorder="1" applyAlignment="1" applyProtection="1">
      <alignment horizontal="center" vertical="center"/>
      <protection hidden="1"/>
    </xf>
    <xf numFmtId="0" fontId="4" fillId="27" borderId="27" xfId="0" quotePrefix="1" applyFont="1" applyFill="1" applyBorder="1" applyAlignment="1" applyProtection="1">
      <alignment horizontal="center"/>
      <protection hidden="1"/>
    </xf>
    <xf numFmtId="0" fontId="4" fillId="27" borderId="27" xfId="0" applyFont="1" applyFill="1" applyBorder="1" applyAlignment="1" applyProtection="1">
      <alignment horizontal="left" vertical="center"/>
      <protection hidden="1"/>
    </xf>
    <xf numFmtId="0" fontId="4" fillId="27" borderId="33" xfId="0" quotePrefix="1" applyFont="1" applyFill="1" applyBorder="1" applyAlignment="1" applyProtection="1">
      <alignment horizontal="center"/>
      <protection hidden="1"/>
    </xf>
    <xf numFmtId="0" fontId="4" fillId="27" borderId="21" xfId="1540" quotePrefix="1" applyFill="1" applyBorder="1" applyAlignment="1" applyProtection="1">
      <alignment horizontal="center"/>
      <protection hidden="1"/>
    </xf>
    <xf numFmtId="0" fontId="4" fillId="27" borderId="34" xfId="0" applyFont="1" applyFill="1" applyBorder="1" applyAlignment="1" applyProtection="1">
      <alignment horizontal="left" vertical="center"/>
      <protection hidden="1"/>
    </xf>
    <xf numFmtId="0" fontId="4" fillId="27" borderId="73" xfId="0" applyFont="1" applyFill="1" applyBorder="1" applyAlignment="1" applyProtection="1">
      <alignment horizontal="left" vertical="center"/>
      <protection hidden="1"/>
    </xf>
    <xf numFmtId="0" fontId="4" fillId="27" borderId="36" xfId="0" applyFont="1" applyFill="1" applyBorder="1" applyProtection="1">
      <protection hidden="1"/>
    </xf>
    <xf numFmtId="0" fontId="4" fillId="27" borderId="34" xfId="0" applyFont="1" applyFill="1" applyBorder="1" applyAlignment="1" applyProtection="1">
      <alignment horizontal="center"/>
      <protection hidden="1"/>
    </xf>
    <xf numFmtId="0" fontId="4" fillId="27" borderId="73" xfId="0" applyFont="1" applyFill="1" applyBorder="1" applyAlignment="1" applyProtection="1">
      <alignment horizontal="center"/>
      <protection hidden="1"/>
    </xf>
    <xf numFmtId="0" fontId="5" fillId="27" borderId="17" xfId="0" applyFont="1" applyFill="1" applyBorder="1" applyAlignment="1">
      <alignment horizontal="center" vertical="center"/>
    </xf>
    <xf numFmtId="165" fontId="4" fillId="27" borderId="27" xfId="0" applyNumberFormat="1" applyFont="1" applyFill="1" applyBorder="1" applyAlignment="1" applyProtection="1">
      <alignment horizontal="center"/>
      <protection hidden="1"/>
    </xf>
    <xf numFmtId="165" fontId="4" fillId="27" borderId="34" xfId="0" applyNumberFormat="1" applyFont="1" applyFill="1" applyBorder="1" applyAlignment="1" applyProtection="1">
      <alignment horizontal="center"/>
      <protection hidden="1"/>
    </xf>
    <xf numFmtId="165" fontId="4" fillId="27" borderId="73" xfId="0" applyNumberFormat="1" applyFont="1" applyFill="1" applyBorder="1" applyAlignment="1" applyProtection="1">
      <alignment horizontal="center"/>
      <protection hidden="1"/>
    </xf>
    <xf numFmtId="0" fontId="5" fillId="27" borderId="52" xfId="0" applyFont="1" applyFill="1" applyBorder="1" applyAlignment="1">
      <alignment horizontal="center" vertical="center"/>
    </xf>
    <xf numFmtId="0" fontId="5" fillId="27" borderId="39" xfId="0" applyFont="1" applyFill="1" applyBorder="1" applyAlignment="1">
      <alignment horizontal="center" textRotation="90" wrapText="1"/>
    </xf>
    <xf numFmtId="1" fontId="5" fillId="27" borderId="27" xfId="0" applyNumberFormat="1" applyFont="1" applyFill="1" applyBorder="1" applyAlignment="1">
      <alignment horizontal="center" vertical="center"/>
    </xf>
    <xf numFmtId="1" fontId="5" fillId="27" borderId="17" xfId="0" applyNumberFormat="1" applyFont="1" applyFill="1" applyBorder="1" applyAlignment="1">
      <alignment horizontal="center" vertical="center"/>
    </xf>
    <xf numFmtId="1" fontId="5" fillId="27" borderId="34" xfId="0" applyNumberFormat="1" applyFont="1" applyFill="1" applyBorder="1" applyAlignment="1">
      <alignment horizontal="center" vertical="center"/>
    </xf>
    <xf numFmtId="1" fontId="5" fillId="27" borderId="73" xfId="0" applyNumberFormat="1" applyFont="1" applyFill="1" applyBorder="1" applyAlignment="1">
      <alignment horizontal="center" vertical="center"/>
    </xf>
    <xf numFmtId="165" fontId="5" fillId="27" borderId="17" xfId="0" applyNumberFormat="1" applyFont="1" applyFill="1" applyBorder="1" applyAlignment="1">
      <alignment horizontal="center" vertical="center"/>
    </xf>
    <xf numFmtId="165" fontId="4" fillId="27" borderId="17" xfId="0" applyNumberFormat="1" applyFont="1" applyFill="1" applyBorder="1" applyAlignment="1">
      <alignment horizontal="center" vertical="center"/>
    </xf>
    <xf numFmtId="165" fontId="4" fillId="27" borderId="34" xfId="0" applyNumberFormat="1" applyFont="1" applyFill="1" applyBorder="1" applyAlignment="1">
      <alignment horizontal="center" vertical="center"/>
    </xf>
    <xf numFmtId="165" fontId="4" fillId="27" borderId="73" xfId="0" applyNumberFormat="1" applyFont="1" applyFill="1" applyBorder="1" applyAlignment="1">
      <alignment horizontal="center" vertical="center"/>
    </xf>
    <xf numFmtId="0" fontId="5" fillId="27" borderId="19" xfId="0" applyFont="1" applyFill="1" applyBorder="1" applyAlignment="1">
      <alignment horizontal="center" vertical="center"/>
    </xf>
    <xf numFmtId="0" fontId="5" fillId="27" borderId="15" xfId="0" applyFont="1" applyFill="1" applyBorder="1" applyAlignment="1">
      <alignment horizontal="center" vertical="center"/>
    </xf>
    <xf numFmtId="0" fontId="5" fillId="27" borderId="0" xfId="0" applyFont="1" applyFill="1" applyAlignment="1">
      <alignment horizontal="center" vertical="center"/>
    </xf>
    <xf numFmtId="0" fontId="5" fillId="27" borderId="134" xfId="0" applyFont="1" applyFill="1" applyBorder="1" applyAlignment="1">
      <alignment horizontal="center" vertical="center"/>
    </xf>
    <xf numFmtId="0" fontId="4" fillId="27" borderId="36" xfId="0" applyFont="1" applyFill="1" applyBorder="1" applyAlignment="1">
      <alignment vertical="center"/>
    </xf>
    <xf numFmtId="165" fontId="2" fillId="0" borderId="22" xfId="0" applyNumberFormat="1" applyFont="1" applyBorder="1" applyAlignment="1">
      <alignment horizontal="left" vertical="center"/>
    </xf>
    <xf numFmtId="0" fontId="2" fillId="0" borderId="17" xfId="0" applyFont="1" applyBorder="1" applyAlignment="1" applyProtection="1">
      <alignment horizontal="center" textRotation="90"/>
      <protection hidden="1"/>
    </xf>
    <xf numFmtId="0" fontId="2" fillId="0" borderId="26" xfId="0" applyFont="1" applyBorder="1" applyAlignment="1" applyProtection="1">
      <alignment horizontal="center" textRotation="90"/>
      <protection hidden="1"/>
    </xf>
    <xf numFmtId="0" fontId="2" fillId="0" borderId="52" xfId="0" applyFont="1" applyBorder="1" applyAlignment="1" applyProtection="1">
      <alignment horizontal="center" textRotation="90"/>
      <protection hidden="1"/>
    </xf>
    <xf numFmtId="0" fontId="2" fillId="0" borderId="35" xfId="0" applyFont="1" applyBorder="1" applyAlignment="1" applyProtection="1">
      <alignment horizontal="center" textRotation="90" wrapText="1"/>
      <protection hidden="1"/>
    </xf>
    <xf numFmtId="0" fontId="2" fillId="0" borderId="35" xfId="0" applyFont="1" applyBorder="1" applyAlignment="1" applyProtection="1">
      <alignment horizontal="center" textRotation="90"/>
      <protection hidden="1"/>
    </xf>
    <xf numFmtId="0" fontId="2" fillId="0" borderId="17" xfId="0" applyFont="1" applyBorder="1" applyAlignment="1" applyProtection="1">
      <alignment horizontal="center" textRotation="90" wrapText="1"/>
      <protection hidden="1"/>
    </xf>
    <xf numFmtId="0" fontId="2" fillId="0" borderId="73" xfId="0" applyFont="1" applyBorder="1" applyAlignment="1" applyProtection="1">
      <alignment horizontal="center" textRotation="90" wrapText="1"/>
      <protection hidden="1"/>
    </xf>
    <xf numFmtId="165" fontId="2" fillId="0" borderId="44" xfId="0" applyNumberFormat="1" applyFont="1" applyBorder="1" applyProtection="1">
      <protection hidden="1"/>
    </xf>
    <xf numFmtId="1" fontId="49" fillId="0" borderId="13" xfId="0" applyNumberFormat="1" applyFont="1" applyBorder="1" applyAlignment="1">
      <alignment horizontal="center" vertical="center"/>
    </xf>
    <xf numFmtId="1" fontId="49" fillId="0" borderId="58" xfId="0" applyNumberFormat="1" applyFont="1" applyBorder="1" applyAlignment="1">
      <alignment horizontal="center" vertical="center"/>
    </xf>
    <xf numFmtId="165" fontId="49" fillId="0" borderId="14" xfId="0" applyNumberFormat="1" applyFont="1" applyBorder="1" applyAlignment="1">
      <alignment horizontal="center" vertical="center"/>
    </xf>
    <xf numFmtId="165" fontId="49" fillId="0" borderId="28" xfId="0" applyNumberFormat="1" applyFont="1" applyBorder="1" applyAlignment="1">
      <alignment horizontal="center" vertical="center"/>
    </xf>
    <xf numFmtId="1" fontId="49" fillId="0" borderId="6" xfId="0" applyNumberFormat="1" applyFont="1" applyBorder="1" applyAlignment="1" applyProtection="1">
      <alignment horizontal="center" vertical="center"/>
      <protection hidden="1"/>
    </xf>
    <xf numFmtId="1" fontId="49" fillId="0" borderId="29" xfId="0" applyNumberFormat="1" applyFont="1" applyBorder="1" applyAlignment="1" applyProtection="1">
      <alignment horizontal="center" vertical="center"/>
      <protection hidden="1"/>
    </xf>
    <xf numFmtId="0" fontId="50" fillId="0" borderId="0" xfId="0" applyFont="1" applyAlignment="1" applyProtection="1">
      <alignment horizontal="center"/>
      <protection locked="0" hidden="1"/>
    </xf>
    <xf numFmtId="0" fontId="49" fillId="0" borderId="8" xfId="0" applyFont="1" applyBorder="1" applyAlignment="1">
      <alignment horizontal="center" textRotation="90" wrapText="1"/>
    </xf>
    <xf numFmtId="0" fontId="49" fillId="27" borderId="34" xfId="0" applyFont="1" applyFill="1" applyBorder="1" applyAlignment="1">
      <alignment horizontal="center" vertical="center"/>
    </xf>
    <xf numFmtId="1" fontId="49" fillId="28" borderId="13" xfId="0" applyNumberFormat="1" applyFont="1" applyFill="1" applyBorder="1" applyAlignment="1">
      <alignment horizontal="center" vertical="center"/>
    </xf>
    <xf numFmtId="165" fontId="49" fillId="28" borderId="14" xfId="0" applyNumberFormat="1" applyFont="1" applyFill="1" applyBorder="1" applyAlignment="1">
      <alignment horizontal="center" vertical="center"/>
    </xf>
    <xf numFmtId="1" fontId="49" fillId="28" borderId="6" xfId="0" applyNumberFormat="1" applyFont="1" applyFill="1" applyBorder="1" applyAlignment="1" applyProtection="1">
      <alignment horizontal="center" vertical="center"/>
      <protection hidden="1"/>
    </xf>
    <xf numFmtId="1" fontId="49" fillId="28" borderId="6" xfId="0" applyNumberFormat="1" applyFont="1" applyFill="1" applyBorder="1" applyAlignment="1">
      <alignment horizontal="center" vertical="center"/>
    </xf>
    <xf numFmtId="1" fontId="49" fillId="28" borderId="14" xfId="0" applyNumberFormat="1" applyFont="1" applyFill="1" applyBorder="1" applyAlignment="1">
      <alignment horizontal="center" vertical="center"/>
    </xf>
    <xf numFmtId="1" fontId="49" fillId="28" borderId="31" xfId="0" applyNumberFormat="1" applyFont="1" applyFill="1" applyBorder="1" applyAlignment="1">
      <alignment horizontal="center" vertical="center"/>
    </xf>
    <xf numFmtId="1" fontId="49" fillId="28" borderId="78" xfId="0" applyNumberFormat="1" applyFont="1" applyFill="1" applyBorder="1" applyAlignment="1">
      <alignment horizontal="center" vertical="center"/>
    </xf>
    <xf numFmtId="165" fontId="49" fillId="28" borderId="78" xfId="0" applyNumberFormat="1" applyFont="1" applyFill="1" applyBorder="1" applyAlignment="1">
      <alignment horizontal="center" vertical="center"/>
    </xf>
    <xf numFmtId="165" fontId="49" fillId="27" borderId="34" xfId="0" applyNumberFormat="1" applyFont="1" applyFill="1" applyBorder="1" applyAlignment="1">
      <alignment horizontal="center" vertical="center"/>
    </xf>
    <xf numFmtId="165" fontId="49" fillId="0" borderId="13" xfId="0" applyNumberFormat="1" applyFont="1" applyBorder="1" applyAlignment="1">
      <alignment horizontal="center" vertical="center"/>
    </xf>
    <xf numFmtId="165" fontId="49" fillId="0" borderId="14" xfId="0" quotePrefix="1" applyNumberFormat="1" applyFont="1" applyBorder="1" applyAlignment="1">
      <alignment horizontal="center" vertical="center"/>
    </xf>
    <xf numFmtId="165" fontId="49" fillId="0" borderId="78" xfId="0" quotePrefix="1" applyNumberFormat="1" applyFont="1" applyBorder="1" applyAlignment="1">
      <alignment horizontal="center" vertical="center"/>
    </xf>
    <xf numFmtId="0" fontId="49" fillId="27" borderId="0" xfId="0" applyFont="1" applyFill="1" applyAlignment="1">
      <alignment horizontal="center"/>
    </xf>
    <xf numFmtId="0" fontId="49" fillId="0" borderId="17" xfId="0" quotePrefix="1" applyFont="1" applyBorder="1" applyAlignment="1">
      <alignment horizontal="center" vertical="center"/>
    </xf>
    <xf numFmtId="0" fontId="49" fillId="27" borderId="0" xfId="0" applyFont="1" applyFill="1" applyAlignment="1">
      <alignment horizontal="center" vertical="center"/>
    </xf>
    <xf numFmtId="0" fontId="49" fillId="0" borderId="13" xfId="0" applyFont="1" applyBorder="1" applyAlignment="1">
      <alignment horizontal="center" vertical="center"/>
    </xf>
    <xf numFmtId="0" fontId="49" fillId="0" borderId="14" xfId="0" applyFont="1" applyBorder="1" applyAlignment="1">
      <alignment horizontal="center" vertical="center"/>
    </xf>
    <xf numFmtId="0" fontId="49" fillId="0" borderId="6" xfId="0" applyFont="1" applyBorder="1" applyAlignment="1">
      <alignment horizontal="center" vertical="center"/>
    </xf>
    <xf numFmtId="0" fontId="49" fillId="0" borderId="55" xfId="0" applyFont="1" applyBorder="1" applyAlignment="1">
      <alignment horizontal="center"/>
    </xf>
    <xf numFmtId="0" fontId="49" fillId="0" borderId="0" xfId="0" applyFont="1" applyAlignment="1">
      <alignment horizontal="center"/>
    </xf>
    <xf numFmtId="1" fontId="2" fillId="0" borderId="14" xfId="0" quotePrefix="1" applyNumberFormat="1" applyFont="1" applyBorder="1" applyAlignment="1" applyProtection="1">
      <alignment horizontal="center" vertical="center"/>
      <protection locked="0" hidden="1"/>
    </xf>
    <xf numFmtId="1" fontId="2" fillId="0" borderId="84" xfId="0" quotePrefix="1" applyNumberFormat="1" applyFont="1" applyBorder="1" applyAlignment="1" applyProtection="1">
      <alignment horizontal="center" vertical="center"/>
      <protection locked="0" hidden="1"/>
    </xf>
    <xf numFmtId="0" fontId="2" fillId="0" borderId="95" xfId="0" quotePrefix="1" applyFont="1" applyBorder="1" applyAlignment="1" applyProtection="1">
      <alignment horizontal="center" vertical="center"/>
      <protection locked="0" hidden="1"/>
    </xf>
    <xf numFmtId="0" fontId="2" fillId="0" borderId="86" xfId="0" quotePrefix="1" applyFont="1" applyBorder="1" applyAlignment="1" applyProtection="1">
      <alignment horizontal="center" vertical="center"/>
      <protection locked="0" hidden="1"/>
    </xf>
    <xf numFmtId="0" fontId="2" fillId="0" borderId="72" xfId="1540" applyFont="1" applyBorder="1" applyAlignment="1" applyProtection="1">
      <alignment horizontal="left" vertical="center"/>
      <protection hidden="1"/>
    </xf>
    <xf numFmtId="1" fontId="2" fillId="0" borderId="72" xfId="0" applyNumberFormat="1" applyFont="1" applyBorder="1" applyAlignment="1" applyProtection="1">
      <alignment vertical="center"/>
      <protection hidden="1"/>
    </xf>
    <xf numFmtId="1" fontId="2" fillId="0" borderId="29" xfId="0" applyNumberFormat="1" applyFont="1" applyBorder="1" applyAlignment="1">
      <alignment vertical="center"/>
    </xf>
    <xf numFmtId="1" fontId="2" fillId="0" borderId="28" xfId="0" applyNumberFormat="1" applyFont="1" applyBorder="1" applyAlignment="1">
      <alignment vertical="center"/>
    </xf>
    <xf numFmtId="0" fontId="2" fillId="0" borderId="58" xfId="0" applyFont="1" applyBorder="1" applyAlignment="1" applyProtection="1">
      <alignment horizontal="left" vertical="center"/>
      <protection hidden="1"/>
    </xf>
    <xf numFmtId="0" fontId="2" fillId="0" borderId="19" xfId="0" applyFont="1" applyBorder="1" applyAlignment="1">
      <alignment vertical="center"/>
    </xf>
    <xf numFmtId="0" fontId="2" fillId="0" borderId="20" xfId="0" applyFont="1" applyBorder="1" applyAlignment="1" applyProtection="1">
      <alignment horizontal="left" vertical="center"/>
      <protection hidden="1"/>
    </xf>
    <xf numFmtId="165" fontId="2" fillId="0" borderId="22" xfId="0" applyNumberFormat="1" applyFont="1" applyBorder="1" applyAlignment="1">
      <alignment vertical="center"/>
    </xf>
    <xf numFmtId="0" fontId="2" fillId="0" borderId="33" xfId="0" applyFont="1" applyBorder="1" applyAlignment="1">
      <alignment vertical="center"/>
    </xf>
    <xf numFmtId="168" fontId="2" fillId="0" borderId="15" xfId="0" applyNumberFormat="1" applyFont="1" applyBorder="1" applyAlignment="1">
      <alignment horizontal="center" vertical="center"/>
    </xf>
    <xf numFmtId="165" fontId="2" fillId="0" borderId="37" xfId="0" applyNumberFormat="1" applyFont="1" applyBorder="1" applyAlignment="1" applyProtection="1">
      <alignment vertical="center"/>
      <protection hidden="1"/>
    </xf>
    <xf numFmtId="0" fontId="2" fillId="0" borderId="49" xfId="0" applyFont="1" applyBorder="1" applyAlignment="1" applyProtection="1">
      <alignment horizontal="left" vertical="center"/>
      <protection hidden="1"/>
    </xf>
    <xf numFmtId="0" fontId="2" fillId="0" borderId="44" xfId="0" applyFont="1" applyBorder="1" applyProtection="1">
      <protection hidden="1"/>
    </xf>
    <xf numFmtId="0" fontId="2" fillId="0" borderId="37" xfId="0" applyFont="1" applyBorder="1" applyProtection="1">
      <protection hidden="1"/>
    </xf>
    <xf numFmtId="0" fontId="2" fillId="0" borderId="54" xfId="0" applyFont="1" applyBorder="1" applyAlignment="1">
      <alignment horizontal="center" textRotation="90" wrapText="1"/>
    </xf>
    <xf numFmtId="0" fontId="49" fillId="0" borderId="17" xfId="0" applyFont="1" applyBorder="1" applyAlignment="1">
      <alignment horizontal="center" vertical="center" wrapText="1"/>
    </xf>
    <xf numFmtId="0" fontId="5" fillId="0" borderId="48" xfId="0" applyFont="1" applyBorder="1" applyAlignment="1">
      <alignment horizontal="right" vertical="center"/>
    </xf>
    <xf numFmtId="0" fontId="4" fillId="27" borderId="48" xfId="0" quotePrefix="1" applyFont="1" applyFill="1" applyBorder="1" applyAlignment="1">
      <alignment horizontal="center" vertical="center"/>
    </xf>
    <xf numFmtId="0" fontId="4" fillId="27" borderId="19" xfId="0" quotePrefix="1" applyFont="1" applyFill="1" applyBorder="1" applyAlignment="1">
      <alignment horizontal="center" vertical="center"/>
    </xf>
    <xf numFmtId="0" fontId="5" fillId="0" borderId="17" xfId="0" applyFont="1" applyBorder="1" applyAlignment="1">
      <alignment horizontal="right" vertical="center"/>
    </xf>
    <xf numFmtId="0" fontId="4" fillId="27" borderId="25" xfId="0" quotePrefix="1" applyFont="1" applyFill="1" applyBorder="1" applyAlignment="1">
      <alignment horizontal="center" vertical="center"/>
    </xf>
    <xf numFmtId="0" fontId="4" fillId="27" borderId="53" xfId="0" quotePrefix="1" applyFont="1" applyFill="1" applyBorder="1" applyAlignment="1">
      <alignment horizontal="center" vertical="center"/>
    </xf>
    <xf numFmtId="0" fontId="4" fillId="0" borderId="17" xfId="0" quotePrefix="1" applyFont="1" applyBorder="1" applyAlignment="1">
      <alignment horizontal="center" vertical="center"/>
    </xf>
    <xf numFmtId="0" fontId="2" fillId="27" borderId="53" xfId="0" quotePrefix="1" applyFont="1" applyFill="1" applyBorder="1" applyAlignment="1">
      <alignment horizontal="center" vertical="center"/>
    </xf>
    <xf numFmtId="0" fontId="2" fillId="0" borderId="17" xfId="0" quotePrefix="1" applyFont="1" applyBorder="1" applyAlignment="1">
      <alignment horizontal="center" vertical="center" wrapText="1"/>
    </xf>
    <xf numFmtId="0" fontId="2" fillId="0" borderId="17" xfId="0" applyFont="1" applyBorder="1" applyAlignment="1">
      <alignment vertical="center" wrapText="1"/>
    </xf>
    <xf numFmtId="0" fontId="2" fillId="27" borderId="53" xfId="0" applyFont="1" applyFill="1" applyBorder="1" applyAlignment="1">
      <alignment horizontal="center" vertical="center"/>
    </xf>
    <xf numFmtId="0" fontId="2" fillId="27" borderId="48" xfId="0" quotePrefix="1" applyFont="1" applyFill="1" applyBorder="1" applyAlignment="1">
      <alignment horizontal="center" vertical="center"/>
    </xf>
    <xf numFmtId="0" fontId="2" fillId="27" borderId="19" xfId="0" quotePrefix="1" applyFont="1" applyFill="1" applyBorder="1" applyAlignment="1">
      <alignment horizontal="center" vertical="center"/>
    </xf>
    <xf numFmtId="0" fontId="2" fillId="0" borderId="34" xfId="0" applyFont="1" applyBorder="1" applyAlignment="1" applyProtection="1">
      <alignment horizontal="center" vertical="center"/>
      <protection hidden="1"/>
    </xf>
    <xf numFmtId="0" fontId="2" fillId="0" borderId="34" xfId="0" quotePrefix="1" applyFont="1" applyBorder="1" applyAlignment="1" applyProtection="1">
      <alignment horizontal="center" vertical="center" wrapText="1"/>
      <protection locked="0" hidden="1"/>
    </xf>
    <xf numFmtId="0" fontId="2" fillId="0" borderId="34" xfId="0" applyFont="1" applyBorder="1" applyAlignment="1" applyProtection="1">
      <alignment horizontal="center" vertical="center" wrapText="1"/>
      <protection hidden="1"/>
    </xf>
    <xf numFmtId="0" fontId="2" fillId="0" borderId="34" xfId="0" quotePrefix="1" applyFont="1" applyBorder="1" applyAlignment="1" applyProtection="1">
      <alignment horizontal="center" vertical="center" wrapText="1"/>
      <protection hidden="1"/>
    </xf>
    <xf numFmtId="0" fontId="2" fillId="0" borderId="73" xfId="0" applyFont="1" applyBorder="1" applyAlignment="1" applyProtection="1">
      <alignment horizontal="center" vertical="center" wrapText="1"/>
      <protection hidden="1"/>
    </xf>
    <xf numFmtId="0" fontId="2" fillId="0" borderId="1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34" xfId="0" quotePrefix="1" applyFont="1" applyBorder="1" applyAlignment="1">
      <alignment horizontal="center" vertical="center" wrapText="1"/>
    </xf>
    <xf numFmtId="0" fontId="2" fillId="0" borderId="106" xfId="0" applyFont="1" applyBorder="1" applyAlignment="1" applyProtection="1">
      <alignment horizontal="center" vertical="center" wrapText="1"/>
      <protection hidden="1"/>
    </xf>
    <xf numFmtId="0" fontId="2" fillId="0" borderId="73" xfId="0" quotePrefix="1" applyFont="1" applyBorder="1" applyAlignment="1" applyProtection="1">
      <alignment horizontal="center" vertical="center" wrapText="1"/>
      <protection hidden="1"/>
    </xf>
    <xf numFmtId="0" fontId="4" fillId="0" borderId="34" xfId="0" applyFont="1" applyBorder="1" applyAlignment="1" applyProtection="1">
      <alignment horizontal="center" wrapText="1"/>
      <protection hidden="1"/>
    </xf>
    <xf numFmtId="0" fontId="2" fillId="0" borderId="73" xfId="0" quotePrefix="1" applyFont="1" applyBorder="1" applyAlignment="1" applyProtection="1">
      <alignment horizontal="center" wrapText="1"/>
      <protection hidden="1"/>
    </xf>
    <xf numFmtId="0" fontId="2" fillId="0" borderId="34" xfId="0" applyFont="1" applyBorder="1" applyAlignment="1" applyProtection="1">
      <alignment horizontal="center" wrapText="1"/>
      <protection hidden="1"/>
    </xf>
    <xf numFmtId="0" fontId="2" fillId="0" borderId="17" xfId="0" quotePrefix="1" applyFont="1" applyBorder="1" applyAlignment="1" applyProtection="1">
      <alignment horizontal="center" vertical="center" wrapText="1"/>
      <protection hidden="1"/>
    </xf>
    <xf numFmtId="0" fontId="5" fillId="0" borderId="69" xfId="0" applyFont="1" applyBorder="1" applyAlignment="1" applyProtection="1">
      <alignment horizontal="center" vertical="center"/>
      <protection hidden="1"/>
    </xf>
    <xf numFmtId="0" fontId="5" fillId="0" borderId="69" xfId="0" applyFont="1" applyBorder="1" applyAlignment="1" applyProtection="1">
      <alignment horizontal="center" vertical="center" wrapText="1"/>
      <protection hidden="1"/>
    </xf>
    <xf numFmtId="0" fontId="5" fillId="0" borderId="130" xfId="0" applyFont="1" applyBorder="1" applyAlignment="1" applyProtection="1">
      <alignment horizontal="center" vertical="center" wrapText="1"/>
      <protection hidden="1"/>
    </xf>
    <xf numFmtId="0" fontId="4" fillId="27" borderId="47" xfId="0" quotePrefix="1" applyFont="1" applyFill="1" applyBorder="1" applyAlignment="1">
      <alignment horizontal="center" vertical="center"/>
    </xf>
    <xf numFmtId="0" fontId="4" fillId="27" borderId="19" xfId="0" quotePrefix="1" applyFont="1" applyFill="1" applyBorder="1" applyAlignment="1">
      <alignment horizontal="center" vertical="center"/>
    </xf>
    <xf numFmtId="0" fontId="4" fillId="27" borderId="39" xfId="0" quotePrefix="1" applyFont="1" applyFill="1" applyBorder="1" applyAlignment="1">
      <alignment horizontal="center" vertical="center"/>
    </xf>
    <xf numFmtId="0" fontId="4" fillId="27" borderId="33" xfId="0" quotePrefix="1" applyFont="1" applyFill="1" applyBorder="1" applyAlignment="1">
      <alignment horizontal="center" vertical="center"/>
    </xf>
    <xf numFmtId="0" fontId="4" fillId="0" borderId="104" xfId="0" applyFont="1" applyBorder="1" applyAlignment="1" applyProtection="1">
      <alignment horizontal="center"/>
      <protection locked="0" hidden="1"/>
    </xf>
    <xf numFmtId="0" fontId="4" fillId="0" borderId="40" xfId="0" applyFont="1" applyBorder="1" applyAlignment="1" applyProtection="1">
      <alignment horizontal="center"/>
      <protection locked="0" hidden="1"/>
    </xf>
    <xf numFmtId="1" fontId="5" fillId="0" borderId="30" xfId="0" applyNumberFormat="1" applyFont="1" applyBorder="1" applyAlignment="1" applyProtection="1">
      <alignment horizontal="right" vertical="center"/>
      <protection hidden="1"/>
    </xf>
    <xf numFmtId="1" fontId="5" fillId="0" borderId="34" xfId="0" applyNumberFormat="1" applyFont="1" applyBorder="1" applyAlignment="1" applyProtection="1">
      <alignment horizontal="right" vertical="center"/>
      <protection hidden="1"/>
    </xf>
    <xf numFmtId="0" fontId="9" fillId="0" borderId="120" xfId="0" applyFont="1" applyBorder="1" applyAlignment="1" applyProtection="1">
      <alignment horizontal="center"/>
      <protection hidden="1"/>
    </xf>
    <xf numFmtId="0" fontId="9" fillId="0" borderId="69" xfId="0" applyFont="1" applyBorder="1" applyAlignment="1" applyProtection="1">
      <alignment horizontal="center"/>
      <protection hidden="1"/>
    </xf>
    <xf numFmtId="0" fontId="9" fillId="0" borderId="130" xfId="0" applyFont="1" applyBorder="1" applyAlignment="1" applyProtection="1">
      <alignment horizontal="center"/>
      <protection hidden="1"/>
    </xf>
    <xf numFmtId="0" fontId="9" fillId="0" borderId="121" xfId="0" applyFont="1" applyBorder="1" applyAlignment="1" applyProtection="1">
      <alignment horizontal="center"/>
      <protection hidden="1"/>
    </xf>
    <xf numFmtId="0" fontId="2" fillId="0" borderId="17" xfId="0" applyFont="1" applyFill="1" applyBorder="1" applyAlignment="1">
      <alignment horizontal="center" vertical="center" wrapText="1"/>
    </xf>
  </cellXfs>
  <cellStyles count="1996">
    <cellStyle name="20% - Accent1 2" xfId="1" xr:uid="{00000000-0005-0000-0000-000000000000}"/>
    <cellStyle name="20% - Accent1 2 10" xfId="2" xr:uid="{00000000-0005-0000-0000-000001000000}"/>
    <cellStyle name="20% - Accent1 2 11" xfId="3" xr:uid="{00000000-0005-0000-0000-000002000000}"/>
    <cellStyle name="20% - Accent1 2 12" xfId="4" xr:uid="{00000000-0005-0000-0000-000003000000}"/>
    <cellStyle name="20% - Accent1 2 13" xfId="5" xr:uid="{00000000-0005-0000-0000-000004000000}"/>
    <cellStyle name="20% - Accent1 2 14" xfId="6" xr:uid="{00000000-0005-0000-0000-000005000000}"/>
    <cellStyle name="20% - Accent1 2 15" xfId="7" xr:uid="{00000000-0005-0000-0000-000006000000}"/>
    <cellStyle name="20% - Accent1 2 16" xfId="8" xr:uid="{00000000-0005-0000-0000-000007000000}"/>
    <cellStyle name="20% - Accent1 2 17" xfId="9" xr:uid="{00000000-0005-0000-0000-000008000000}"/>
    <cellStyle name="20% - Accent1 2 18" xfId="10" xr:uid="{00000000-0005-0000-0000-000009000000}"/>
    <cellStyle name="20% - Accent1 2 19" xfId="11" xr:uid="{00000000-0005-0000-0000-00000A000000}"/>
    <cellStyle name="20% - Accent1 2 2" xfId="12" xr:uid="{00000000-0005-0000-0000-00000B000000}"/>
    <cellStyle name="20% - Accent1 2 20" xfId="13" xr:uid="{00000000-0005-0000-0000-00000C000000}"/>
    <cellStyle name="20% - Accent1 2 21" xfId="14" xr:uid="{00000000-0005-0000-0000-00000D000000}"/>
    <cellStyle name="20% - Accent1 2 22" xfId="15" xr:uid="{00000000-0005-0000-0000-00000E000000}"/>
    <cellStyle name="20% - Accent1 2 23" xfId="16" xr:uid="{00000000-0005-0000-0000-00000F000000}"/>
    <cellStyle name="20% - Accent1 2 24" xfId="17" xr:uid="{00000000-0005-0000-0000-000010000000}"/>
    <cellStyle name="20% - Accent1 2 25" xfId="18" xr:uid="{00000000-0005-0000-0000-000011000000}"/>
    <cellStyle name="20% - Accent1 2 26" xfId="19" xr:uid="{00000000-0005-0000-0000-000012000000}"/>
    <cellStyle name="20% - Accent1 2 27" xfId="20" xr:uid="{00000000-0005-0000-0000-000013000000}"/>
    <cellStyle name="20% - Accent1 2 28" xfId="21" xr:uid="{00000000-0005-0000-0000-000014000000}"/>
    <cellStyle name="20% - Accent1 2 29" xfId="22" xr:uid="{00000000-0005-0000-0000-000015000000}"/>
    <cellStyle name="20% - Accent1 2 3" xfId="23" xr:uid="{00000000-0005-0000-0000-000016000000}"/>
    <cellStyle name="20% - Accent1 2 30" xfId="24" xr:uid="{00000000-0005-0000-0000-000017000000}"/>
    <cellStyle name="20% - Accent1 2 31" xfId="25" xr:uid="{00000000-0005-0000-0000-000018000000}"/>
    <cellStyle name="20% - Accent1 2 32" xfId="26" xr:uid="{00000000-0005-0000-0000-000019000000}"/>
    <cellStyle name="20% - Accent1 2 33" xfId="27" xr:uid="{00000000-0005-0000-0000-00001A000000}"/>
    <cellStyle name="20% - Accent1 2 34" xfId="28" xr:uid="{00000000-0005-0000-0000-00001B000000}"/>
    <cellStyle name="20% - Accent1 2 35" xfId="29" xr:uid="{00000000-0005-0000-0000-00001C000000}"/>
    <cellStyle name="20% - Accent1 2 36" xfId="30" xr:uid="{00000000-0005-0000-0000-00001D000000}"/>
    <cellStyle name="20% - Accent1 2 37" xfId="31" xr:uid="{00000000-0005-0000-0000-00001E000000}"/>
    <cellStyle name="20% - Accent1 2 38" xfId="32" xr:uid="{00000000-0005-0000-0000-00001F000000}"/>
    <cellStyle name="20% - Accent1 2 39" xfId="33" xr:uid="{00000000-0005-0000-0000-000020000000}"/>
    <cellStyle name="20% - Accent1 2 4" xfId="34" xr:uid="{00000000-0005-0000-0000-000021000000}"/>
    <cellStyle name="20% - Accent1 2 40" xfId="35" xr:uid="{00000000-0005-0000-0000-000022000000}"/>
    <cellStyle name="20% - Accent1 2 41" xfId="36" xr:uid="{00000000-0005-0000-0000-000023000000}"/>
    <cellStyle name="20% - Accent1 2 42" xfId="37" xr:uid="{00000000-0005-0000-0000-000024000000}"/>
    <cellStyle name="20% - Accent1 2 43" xfId="38" xr:uid="{00000000-0005-0000-0000-000025000000}"/>
    <cellStyle name="20% - Accent1 2 44" xfId="39" xr:uid="{00000000-0005-0000-0000-000026000000}"/>
    <cellStyle name="20% - Accent1 2 45" xfId="40" xr:uid="{00000000-0005-0000-0000-000027000000}"/>
    <cellStyle name="20% - Accent1 2 46" xfId="41" xr:uid="{00000000-0005-0000-0000-000028000000}"/>
    <cellStyle name="20% - Accent1 2 47" xfId="42" xr:uid="{00000000-0005-0000-0000-000029000000}"/>
    <cellStyle name="20% - Accent1 2 48" xfId="43" xr:uid="{00000000-0005-0000-0000-00002A000000}"/>
    <cellStyle name="20% - Accent1 2 49" xfId="44" xr:uid="{00000000-0005-0000-0000-00002B000000}"/>
    <cellStyle name="20% - Accent1 2 5" xfId="45" xr:uid="{00000000-0005-0000-0000-00002C000000}"/>
    <cellStyle name="20% - Accent1 2 6" xfId="46" xr:uid="{00000000-0005-0000-0000-00002D000000}"/>
    <cellStyle name="20% - Accent1 2 7" xfId="47" xr:uid="{00000000-0005-0000-0000-00002E000000}"/>
    <cellStyle name="20% - Accent1 2 8" xfId="48" xr:uid="{00000000-0005-0000-0000-00002F000000}"/>
    <cellStyle name="20% - Accent1 2 9" xfId="49" xr:uid="{00000000-0005-0000-0000-000030000000}"/>
    <cellStyle name="20% - Accent2 2" xfId="50" xr:uid="{00000000-0005-0000-0000-000031000000}"/>
    <cellStyle name="20% - Accent2 2 10" xfId="51" xr:uid="{00000000-0005-0000-0000-000032000000}"/>
    <cellStyle name="20% - Accent2 2 11" xfId="52" xr:uid="{00000000-0005-0000-0000-000033000000}"/>
    <cellStyle name="20% - Accent2 2 12" xfId="53" xr:uid="{00000000-0005-0000-0000-000034000000}"/>
    <cellStyle name="20% - Accent2 2 13" xfId="54" xr:uid="{00000000-0005-0000-0000-000035000000}"/>
    <cellStyle name="20% - Accent2 2 14" xfId="55" xr:uid="{00000000-0005-0000-0000-000036000000}"/>
    <cellStyle name="20% - Accent2 2 15" xfId="56" xr:uid="{00000000-0005-0000-0000-000037000000}"/>
    <cellStyle name="20% - Accent2 2 16" xfId="57" xr:uid="{00000000-0005-0000-0000-000038000000}"/>
    <cellStyle name="20% - Accent2 2 17" xfId="58" xr:uid="{00000000-0005-0000-0000-000039000000}"/>
    <cellStyle name="20% - Accent2 2 18" xfId="59" xr:uid="{00000000-0005-0000-0000-00003A000000}"/>
    <cellStyle name="20% - Accent2 2 19" xfId="60" xr:uid="{00000000-0005-0000-0000-00003B000000}"/>
    <cellStyle name="20% - Accent2 2 2" xfId="61" xr:uid="{00000000-0005-0000-0000-00003C000000}"/>
    <cellStyle name="20% - Accent2 2 20" xfId="62" xr:uid="{00000000-0005-0000-0000-00003D000000}"/>
    <cellStyle name="20% - Accent2 2 21" xfId="63" xr:uid="{00000000-0005-0000-0000-00003E000000}"/>
    <cellStyle name="20% - Accent2 2 22" xfId="64" xr:uid="{00000000-0005-0000-0000-00003F000000}"/>
    <cellStyle name="20% - Accent2 2 23" xfId="65" xr:uid="{00000000-0005-0000-0000-000040000000}"/>
    <cellStyle name="20% - Accent2 2 24" xfId="66" xr:uid="{00000000-0005-0000-0000-000041000000}"/>
    <cellStyle name="20% - Accent2 2 25" xfId="67" xr:uid="{00000000-0005-0000-0000-000042000000}"/>
    <cellStyle name="20% - Accent2 2 26" xfId="68" xr:uid="{00000000-0005-0000-0000-000043000000}"/>
    <cellStyle name="20% - Accent2 2 27" xfId="69" xr:uid="{00000000-0005-0000-0000-000044000000}"/>
    <cellStyle name="20% - Accent2 2 28" xfId="70" xr:uid="{00000000-0005-0000-0000-000045000000}"/>
    <cellStyle name="20% - Accent2 2 29" xfId="71" xr:uid="{00000000-0005-0000-0000-000046000000}"/>
    <cellStyle name="20% - Accent2 2 3" xfId="72" xr:uid="{00000000-0005-0000-0000-000047000000}"/>
    <cellStyle name="20% - Accent2 2 30" xfId="73" xr:uid="{00000000-0005-0000-0000-000048000000}"/>
    <cellStyle name="20% - Accent2 2 31" xfId="74" xr:uid="{00000000-0005-0000-0000-000049000000}"/>
    <cellStyle name="20% - Accent2 2 32" xfId="75" xr:uid="{00000000-0005-0000-0000-00004A000000}"/>
    <cellStyle name="20% - Accent2 2 33" xfId="76" xr:uid="{00000000-0005-0000-0000-00004B000000}"/>
    <cellStyle name="20% - Accent2 2 34" xfId="77" xr:uid="{00000000-0005-0000-0000-00004C000000}"/>
    <cellStyle name="20% - Accent2 2 35" xfId="78" xr:uid="{00000000-0005-0000-0000-00004D000000}"/>
    <cellStyle name="20% - Accent2 2 36" xfId="79" xr:uid="{00000000-0005-0000-0000-00004E000000}"/>
    <cellStyle name="20% - Accent2 2 37" xfId="80" xr:uid="{00000000-0005-0000-0000-00004F000000}"/>
    <cellStyle name="20% - Accent2 2 38" xfId="81" xr:uid="{00000000-0005-0000-0000-000050000000}"/>
    <cellStyle name="20% - Accent2 2 39" xfId="82" xr:uid="{00000000-0005-0000-0000-000051000000}"/>
    <cellStyle name="20% - Accent2 2 4" xfId="83" xr:uid="{00000000-0005-0000-0000-000052000000}"/>
    <cellStyle name="20% - Accent2 2 40" xfId="84" xr:uid="{00000000-0005-0000-0000-000053000000}"/>
    <cellStyle name="20% - Accent2 2 41" xfId="85" xr:uid="{00000000-0005-0000-0000-000054000000}"/>
    <cellStyle name="20% - Accent2 2 42" xfId="86" xr:uid="{00000000-0005-0000-0000-000055000000}"/>
    <cellStyle name="20% - Accent2 2 43" xfId="87" xr:uid="{00000000-0005-0000-0000-000056000000}"/>
    <cellStyle name="20% - Accent2 2 44" xfId="88" xr:uid="{00000000-0005-0000-0000-000057000000}"/>
    <cellStyle name="20% - Accent2 2 45" xfId="89" xr:uid="{00000000-0005-0000-0000-000058000000}"/>
    <cellStyle name="20% - Accent2 2 46" xfId="90" xr:uid="{00000000-0005-0000-0000-000059000000}"/>
    <cellStyle name="20% - Accent2 2 47" xfId="91" xr:uid="{00000000-0005-0000-0000-00005A000000}"/>
    <cellStyle name="20% - Accent2 2 48" xfId="92" xr:uid="{00000000-0005-0000-0000-00005B000000}"/>
    <cellStyle name="20% - Accent2 2 49" xfId="93" xr:uid="{00000000-0005-0000-0000-00005C000000}"/>
    <cellStyle name="20% - Accent2 2 5" xfId="94" xr:uid="{00000000-0005-0000-0000-00005D000000}"/>
    <cellStyle name="20% - Accent2 2 6" xfId="95" xr:uid="{00000000-0005-0000-0000-00005E000000}"/>
    <cellStyle name="20% - Accent2 2 7" xfId="96" xr:uid="{00000000-0005-0000-0000-00005F000000}"/>
    <cellStyle name="20% - Accent2 2 8" xfId="97" xr:uid="{00000000-0005-0000-0000-000060000000}"/>
    <cellStyle name="20% - Accent2 2 9" xfId="98" xr:uid="{00000000-0005-0000-0000-000061000000}"/>
    <cellStyle name="20% - Accent3 2" xfId="99" xr:uid="{00000000-0005-0000-0000-000062000000}"/>
    <cellStyle name="20% - Accent3 2 10" xfId="100" xr:uid="{00000000-0005-0000-0000-000063000000}"/>
    <cellStyle name="20% - Accent3 2 11" xfId="101" xr:uid="{00000000-0005-0000-0000-000064000000}"/>
    <cellStyle name="20% - Accent3 2 12" xfId="102" xr:uid="{00000000-0005-0000-0000-000065000000}"/>
    <cellStyle name="20% - Accent3 2 13" xfId="103" xr:uid="{00000000-0005-0000-0000-000066000000}"/>
    <cellStyle name="20% - Accent3 2 14" xfId="104" xr:uid="{00000000-0005-0000-0000-000067000000}"/>
    <cellStyle name="20% - Accent3 2 15" xfId="105" xr:uid="{00000000-0005-0000-0000-000068000000}"/>
    <cellStyle name="20% - Accent3 2 16" xfId="106" xr:uid="{00000000-0005-0000-0000-000069000000}"/>
    <cellStyle name="20% - Accent3 2 17" xfId="107" xr:uid="{00000000-0005-0000-0000-00006A000000}"/>
    <cellStyle name="20% - Accent3 2 18" xfId="108" xr:uid="{00000000-0005-0000-0000-00006B000000}"/>
    <cellStyle name="20% - Accent3 2 19" xfId="109" xr:uid="{00000000-0005-0000-0000-00006C000000}"/>
    <cellStyle name="20% - Accent3 2 2" xfId="110" xr:uid="{00000000-0005-0000-0000-00006D000000}"/>
    <cellStyle name="20% - Accent3 2 20" xfId="111" xr:uid="{00000000-0005-0000-0000-00006E000000}"/>
    <cellStyle name="20% - Accent3 2 21" xfId="112" xr:uid="{00000000-0005-0000-0000-00006F000000}"/>
    <cellStyle name="20% - Accent3 2 22" xfId="113" xr:uid="{00000000-0005-0000-0000-000070000000}"/>
    <cellStyle name="20% - Accent3 2 23" xfId="114" xr:uid="{00000000-0005-0000-0000-000071000000}"/>
    <cellStyle name="20% - Accent3 2 24" xfId="115" xr:uid="{00000000-0005-0000-0000-000072000000}"/>
    <cellStyle name="20% - Accent3 2 25" xfId="116" xr:uid="{00000000-0005-0000-0000-000073000000}"/>
    <cellStyle name="20% - Accent3 2 26" xfId="117" xr:uid="{00000000-0005-0000-0000-000074000000}"/>
    <cellStyle name="20% - Accent3 2 27" xfId="118" xr:uid="{00000000-0005-0000-0000-000075000000}"/>
    <cellStyle name="20% - Accent3 2 28" xfId="119" xr:uid="{00000000-0005-0000-0000-000076000000}"/>
    <cellStyle name="20% - Accent3 2 29" xfId="120" xr:uid="{00000000-0005-0000-0000-000077000000}"/>
    <cellStyle name="20% - Accent3 2 3" xfId="121" xr:uid="{00000000-0005-0000-0000-000078000000}"/>
    <cellStyle name="20% - Accent3 2 30" xfId="122" xr:uid="{00000000-0005-0000-0000-000079000000}"/>
    <cellStyle name="20% - Accent3 2 31" xfId="123" xr:uid="{00000000-0005-0000-0000-00007A000000}"/>
    <cellStyle name="20% - Accent3 2 32" xfId="124" xr:uid="{00000000-0005-0000-0000-00007B000000}"/>
    <cellStyle name="20% - Accent3 2 33" xfId="125" xr:uid="{00000000-0005-0000-0000-00007C000000}"/>
    <cellStyle name="20% - Accent3 2 34" xfId="126" xr:uid="{00000000-0005-0000-0000-00007D000000}"/>
    <cellStyle name="20% - Accent3 2 35" xfId="127" xr:uid="{00000000-0005-0000-0000-00007E000000}"/>
    <cellStyle name="20% - Accent3 2 36" xfId="128" xr:uid="{00000000-0005-0000-0000-00007F000000}"/>
    <cellStyle name="20% - Accent3 2 37" xfId="129" xr:uid="{00000000-0005-0000-0000-000080000000}"/>
    <cellStyle name="20% - Accent3 2 38" xfId="130" xr:uid="{00000000-0005-0000-0000-000081000000}"/>
    <cellStyle name="20% - Accent3 2 39" xfId="131" xr:uid="{00000000-0005-0000-0000-000082000000}"/>
    <cellStyle name="20% - Accent3 2 4" xfId="132" xr:uid="{00000000-0005-0000-0000-000083000000}"/>
    <cellStyle name="20% - Accent3 2 40" xfId="133" xr:uid="{00000000-0005-0000-0000-000084000000}"/>
    <cellStyle name="20% - Accent3 2 41" xfId="134" xr:uid="{00000000-0005-0000-0000-000085000000}"/>
    <cellStyle name="20% - Accent3 2 42" xfId="135" xr:uid="{00000000-0005-0000-0000-000086000000}"/>
    <cellStyle name="20% - Accent3 2 43" xfId="136" xr:uid="{00000000-0005-0000-0000-000087000000}"/>
    <cellStyle name="20% - Accent3 2 44" xfId="137" xr:uid="{00000000-0005-0000-0000-000088000000}"/>
    <cellStyle name="20% - Accent3 2 45" xfId="138" xr:uid="{00000000-0005-0000-0000-000089000000}"/>
    <cellStyle name="20% - Accent3 2 46" xfId="139" xr:uid="{00000000-0005-0000-0000-00008A000000}"/>
    <cellStyle name="20% - Accent3 2 47" xfId="140" xr:uid="{00000000-0005-0000-0000-00008B000000}"/>
    <cellStyle name="20% - Accent3 2 48" xfId="141" xr:uid="{00000000-0005-0000-0000-00008C000000}"/>
    <cellStyle name="20% - Accent3 2 49" xfId="142" xr:uid="{00000000-0005-0000-0000-00008D000000}"/>
    <cellStyle name="20% - Accent3 2 5" xfId="143" xr:uid="{00000000-0005-0000-0000-00008E000000}"/>
    <cellStyle name="20% - Accent3 2 6" xfId="144" xr:uid="{00000000-0005-0000-0000-00008F000000}"/>
    <cellStyle name="20% - Accent3 2 7" xfId="145" xr:uid="{00000000-0005-0000-0000-000090000000}"/>
    <cellStyle name="20% - Accent3 2 8" xfId="146" xr:uid="{00000000-0005-0000-0000-000091000000}"/>
    <cellStyle name="20% - Accent3 2 9" xfId="147" xr:uid="{00000000-0005-0000-0000-000092000000}"/>
    <cellStyle name="20% - Accent4 2" xfId="148" xr:uid="{00000000-0005-0000-0000-000093000000}"/>
    <cellStyle name="20% - Accent4 2 10" xfId="149" xr:uid="{00000000-0005-0000-0000-000094000000}"/>
    <cellStyle name="20% - Accent4 2 11" xfId="150" xr:uid="{00000000-0005-0000-0000-000095000000}"/>
    <cellStyle name="20% - Accent4 2 12" xfId="151" xr:uid="{00000000-0005-0000-0000-000096000000}"/>
    <cellStyle name="20% - Accent4 2 13" xfId="152" xr:uid="{00000000-0005-0000-0000-000097000000}"/>
    <cellStyle name="20% - Accent4 2 14" xfId="153" xr:uid="{00000000-0005-0000-0000-000098000000}"/>
    <cellStyle name="20% - Accent4 2 15" xfId="154" xr:uid="{00000000-0005-0000-0000-000099000000}"/>
    <cellStyle name="20% - Accent4 2 16" xfId="155" xr:uid="{00000000-0005-0000-0000-00009A000000}"/>
    <cellStyle name="20% - Accent4 2 17" xfId="156" xr:uid="{00000000-0005-0000-0000-00009B000000}"/>
    <cellStyle name="20% - Accent4 2 18" xfId="157" xr:uid="{00000000-0005-0000-0000-00009C000000}"/>
    <cellStyle name="20% - Accent4 2 19" xfId="158" xr:uid="{00000000-0005-0000-0000-00009D000000}"/>
    <cellStyle name="20% - Accent4 2 2" xfId="159" xr:uid="{00000000-0005-0000-0000-00009E000000}"/>
    <cellStyle name="20% - Accent4 2 20" xfId="160" xr:uid="{00000000-0005-0000-0000-00009F000000}"/>
    <cellStyle name="20% - Accent4 2 21" xfId="161" xr:uid="{00000000-0005-0000-0000-0000A0000000}"/>
    <cellStyle name="20% - Accent4 2 22" xfId="162" xr:uid="{00000000-0005-0000-0000-0000A1000000}"/>
    <cellStyle name="20% - Accent4 2 23" xfId="163" xr:uid="{00000000-0005-0000-0000-0000A2000000}"/>
    <cellStyle name="20% - Accent4 2 24" xfId="164" xr:uid="{00000000-0005-0000-0000-0000A3000000}"/>
    <cellStyle name="20% - Accent4 2 25" xfId="165" xr:uid="{00000000-0005-0000-0000-0000A4000000}"/>
    <cellStyle name="20% - Accent4 2 26" xfId="166" xr:uid="{00000000-0005-0000-0000-0000A5000000}"/>
    <cellStyle name="20% - Accent4 2 27" xfId="167" xr:uid="{00000000-0005-0000-0000-0000A6000000}"/>
    <cellStyle name="20% - Accent4 2 28" xfId="168" xr:uid="{00000000-0005-0000-0000-0000A7000000}"/>
    <cellStyle name="20% - Accent4 2 29" xfId="169" xr:uid="{00000000-0005-0000-0000-0000A8000000}"/>
    <cellStyle name="20% - Accent4 2 3" xfId="170" xr:uid="{00000000-0005-0000-0000-0000A9000000}"/>
    <cellStyle name="20% - Accent4 2 30" xfId="171" xr:uid="{00000000-0005-0000-0000-0000AA000000}"/>
    <cellStyle name="20% - Accent4 2 31" xfId="172" xr:uid="{00000000-0005-0000-0000-0000AB000000}"/>
    <cellStyle name="20% - Accent4 2 32" xfId="173" xr:uid="{00000000-0005-0000-0000-0000AC000000}"/>
    <cellStyle name="20% - Accent4 2 33" xfId="174" xr:uid="{00000000-0005-0000-0000-0000AD000000}"/>
    <cellStyle name="20% - Accent4 2 34" xfId="175" xr:uid="{00000000-0005-0000-0000-0000AE000000}"/>
    <cellStyle name="20% - Accent4 2 35" xfId="176" xr:uid="{00000000-0005-0000-0000-0000AF000000}"/>
    <cellStyle name="20% - Accent4 2 36" xfId="177" xr:uid="{00000000-0005-0000-0000-0000B0000000}"/>
    <cellStyle name="20% - Accent4 2 37" xfId="178" xr:uid="{00000000-0005-0000-0000-0000B1000000}"/>
    <cellStyle name="20% - Accent4 2 38" xfId="179" xr:uid="{00000000-0005-0000-0000-0000B2000000}"/>
    <cellStyle name="20% - Accent4 2 39" xfId="180" xr:uid="{00000000-0005-0000-0000-0000B3000000}"/>
    <cellStyle name="20% - Accent4 2 4" xfId="181" xr:uid="{00000000-0005-0000-0000-0000B4000000}"/>
    <cellStyle name="20% - Accent4 2 40" xfId="182" xr:uid="{00000000-0005-0000-0000-0000B5000000}"/>
    <cellStyle name="20% - Accent4 2 41" xfId="183" xr:uid="{00000000-0005-0000-0000-0000B6000000}"/>
    <cellStyle name="20% - Accent4 2 42" xfId="184" xr:uid="{00000000-0005-0000-0000-0000B7000000}"/>
    <cellStyle name="20% - Accent4 2 43" xfId="185" xr:uid="{00000000-0005-0000-0000-0000B8000000}"/>
    <cellStyle name="20% - Accent4 2 44" xfId="186" xr:uid="{00000000-0005-0000-0000-0000B9000000}"/>
    <cellStyle name="20% - Accent4 2 45" xfId="187" xr:uid="{00000000-0005-0000-0000-0000BA000000}"/>
    <cellStyle name="20% - Accent4 2 46" xfId="188" xr:uid="{00000000-0005-0000-0000-0000BB000000}"/>
    <cellStyle name="20% - Accent4 2 47" xfId="189" xr:uid="{00000000-0005-0000-0000-0000BC000000}"/>
    <cellStyle name="20% - Accent4 2 48" xfId="190" xr:uid="{00000000-0005-0000-0000-0000BD000000}"/>
    <cellStyle name="20% - Accent4 2 49" xfId="191" xr:uid="{00000000-0005-0000-0000-0000BE000000}"/>
    <cellStyle name="20% - Accent4 2 5" xfId="192" xr:uid="{00000000-0005-0000-0000-0000BF000000}"/>
    <cellStyle name="20% - Accent4 2 6" xfId="193" xr:uid="{00000000-0005-0000-0000-0000C0000000}"/>
    <cellStyle name="20% - Accent4 2 7" xfId="194" xr:uid="{00000000-0005-0000-0000-0000C1000000}"/>
    <cellStyle name="20% - Accent4 2 8" xfId="195" xr:uid="{00000000-0005-0000-0000-0000C2000000}"/>
    <cellStyle name="20% - Accent4 2 9" xfId="196" xr:uid="{00000000-0005-0000-0000-0000C3000000}"/>
    <cellStyle name="20% - Accent5" xfId="197" builtinId="46" customBuiltin="1"/>
    <cellStyle name="20% - Accent6 2" xfId="198" xr:uid="{00000000-0005-0000-0000-0000C5000000}"/>
    <cellStyle name="20% - Accent6 2 10" xfId="199" xr:uid="{00000000-0005-0000-0000-0000C6000000}"/>
    <cellStyle name="20% - Accent6 2 11" xfId="200" xr:uid="{00000000-0005-0000-0000-0000C7000000}"/>
    <cellStyle name="20% - Accent6 2 12" xfId="201" xr:uid="{00000000-0005-0000-0000-0000C8000000}"/>
    <cellStyle name="20% - Accent6 2 13" xfId="202" xr:uid="{00000000-0005-0000-0000-0000C9000000}"/>
    <cellStyle name="20% - Accent6 2 14" xfId="203" xr:uid="{00000000-0005-0000-0000-0000CA000000}"/>
    <cellStyle name="20% - Accent6 2 15" xfId="204" xr:uid="{00000000-0005-0000-0000-0000CB000000}"/>
    <cellStyle name="20% - Accent6 2 16" xfId="205" xr:uid="{00000000-0005-0000-0000-0000CC000000}"/>
    <cellStyle name="20% - Accent6 2 17" xfId="206" xr:uid="{00000000-0005-0000-0000-0000CD000000}"/>
    <cellStyle name="20% - Accent6 2 18" xfId="207" xr:uid="{00000000-0005-0000-0000-0000CE000000}"/>
    <cellStyle name="20% - Accent6 2 19" xfId="208" xr:uid="{00000000-0005-0000-0000-0000CF000000}"/>
    <cellStyle name="20% - Accent6 2 2" xfId="209" xr:uid="{00000000-0005-0000-0000-0000D0000000}"/>
    <cellStyle name="20% - Accent6 2 20" xfId="210" xr:uid="{00000000-0005-0000-0000-0000D1000000}"/>
    <cellStyle name="20% - Accent6 2 21" xfId="211" xr:uid="{00000000-0005-0000-0000-0000D2000000}"/>
    <cellStyle name="20% - Accent6 2 22" xfId="212" xr:uid="{00000000-0005-0000-0000-0000D3000000}"/>
    <cellStyle name="20% - Accent6 2 23" xfId="213" xr:uid="{00000000-0005-0000-0000-0000D4000000}"/>
    <cellStyle name="20% - Accent6 2 24" xfId="214" xr:uid="{00000000-0005-0000-0000-0000D5000000}"/>
    <cellStyle name="20% - Accent6 2 25" xfId="215" xr:uid="{00000000-0005-0000-0000-0000D6000000}"/>
    <cellStyle name="20% - Accent6 2 26" xfId="216" xr:uid="{00000000-0005-0000-0000-0000D7000000}"/>
    <cellStyle name="20% - Accent6 2 27" xfId="217" xr:uid="{00000000-0005-0000-0000-0000D8000000}"/>
    <cellStyle name="20% - Accent6 2 28" xfId="218" xr:uid="{00000000-0005-0000-0000-0000D9000000}"/>
    <cellStyle name="20% - Accent6 2 29" xfId="219" xr:uid="{00000000-0005-0000-0000-0000DA000000}"/>
    <cellStyle name="20% - Accent6 2 3" xfId="220" xr:uid="{00000000-0005-0000-0000-0000DB000000}"/>
    <cellStyle name="20% - Accent6 2 30" xfId="221" xr:uid="{00000000-0005-0000-0000-0000DC000000}"/>
    <cellStyle name="20% - Accent6 2 31" xfId="222" xr:uid="{00000000-0005-0000-0000-0000DD000000}"/>
    <cellStyle name="20% - Accent6 2 32" xfId="223" xr:uid="{00000000-0005-0000-0000-0000DE000000}"/>
    <cellStyle name="20% - Accent6 2 33" xfId="224" xr:uid="{00000000-0005-0000-0000-0000DF000000}"/>
    <cellStyle name="20% - Accent6 2 34" xfId="225" xr:uid="{00000000-0005-0000-0000-0000E0000000}"/>
    <cellStyle name="20% - Accent6 2 35" xfId="226" xr:uid="{00000000-0005-0000-0000-0000E1000000}"/>
    <cellStyle name="20% - Accent6 2 36" xfId="227" xr:uid="{00000000-0005-0000-0000-0000E2000000}"/>
    <cellStyle name="20% - Accent6 2 37" xfId="228" xr:uid="{00000000-0005-0000-0000-0000E3000000}"/>
    <cellStyle name="20% - Accent6 2 38" xfId="229" xr:uid="{00000000-0005-0000-0000-0000E4000000}"/>
    <cellStyle name="20% - Accent6 2 39" xfId="230" xr:uid="{00000000-0005-0000-0000-0000E5000000}"/>
    <cellStyle name="20% - Accent6 2 4" xfId="231" xr:uid="{00000000-0005-0000-0000-0000E6000000}"/>
    <cellStyle name="20% - Accent6 2 40" xfId="232" xr:uid="{00000000-0005-0000-0000-0000E7000000}"/>
    <cellStyle name="20% - Accent6 2 41" xfId="233" xr:uid="{00000000-0005-0000-0000-0000E8000000}"/>
    <cellStyle name="20% - Accent6 2 42" xfId="234" xr:uid="{00000000-0005-0000-0000-0000E9000000}"/>
    <cellStyle name="20% - Accent6 2 43" xfId="235" xr:uid="{00000000-0005-0000-0000-0000EA000000}"/>
    <cellStyle name="20% - Accent6 2 44" xfId="236" xr:uid="{00000000-0005-0000-0000-0000EB000000}"/>
    <cellStyle name="20% - Accent6 2 45" xfId="237" xr:uid="{00000000-0005-0000-0000-0000EC000000}"/>
    <cellStyle name="20% - Accent6 2 46" xfId="238" xr:uid="{00000000-0005-0000-0000-0000ED000000}"/>
    <cellStyle name="20% - Accent6 2 47" xfId="239" xr:uid="{00000000-0005-0000-0000-0000EE000000}"/>
    <cellStyle name="20% - Accent6 2 48" xfId="240" xr:uid="{00000000-0005-0000-0000-0000EF000000}"/>
    <cellStyle name="20% - Accent6 2 49" xfId="241" xr:uid="{00000000-0005-0000-0000-0000F0000000}"/>
    <cellStyle name="20% - Accent6 2 5" xfId="242" xr:uid="{00000000-0005-0000-0000-0000F1000000}"/>
    <cellStyle name="20% - Accent6 2 6" xfId="243" xr:uid="{00000000-0005-0000-0000-0000F2000000}"/>
    <cellStyle name="20% - Accent6 2 7" xfId="244" xr:uid="{00000000-0005-0000-0000-0000F3000000}"/>
    <cellStyle name="20% - Accent6 2 8" xfId="245" xr:uid="{00000000-0005-0000-0000-0000F4000000}"/>
    <cellStyle name="20% - Accent6 2 9" xfId="246" xr:uid="{00000000-0005-0000-0000-0000F5000000}"/>
    <cellStyle name="40% - Accent1 2" xfId="247" xr:uid="{00000000-0005-0000-0000-0000F6000000}"/>
    <cellStyle name="40% - Accent1 2 10" xfId="248" xr:uid="{00000000-0005-0000-0000-0000F7000000}"/>
    <cellStyle name="40% - Accent1 2 11" xfId="249" xr:uid="{00000000-0005-0000-0000-0000F8000000}"/>
    <cellStyle name="40% - Accent1 2 12" xfId="250" xr:uid="{00000000-0005-0000-0000-0000F9000000}"/>
    <cellStyle name="40% - Accent1 2 13" xfId="251" xr:uid="{00000000-0005-0000-0000-0000FA000000}"/>
    <cellStyle name="40% - Accent1 2 14" xfId="252" xr:uid="{00000000-0005-0000-0000-0000FB000000}"/>
    <cellStyle name="40% - Accent1 2 15" xfId="253" xr:uid="{00000000-0005-0000-0000-0000FC000000}"/>
    <cellStyle name="40% - Accent1 2 16" xfId="254" xr:uid="{00000000-0005-0000-0000-0000FD000000}"/>
    <cellStyle name="40% - Accent1 2 17" xfId="255" xr:uid="{00000000-0005-0000-0000-0000FE000000}"/>
    <cellStyle name="40% - Accent1 2 18" xfId="256" xr:uid="{00000000-0005-0000-0000-0000FF000000}"/>
    <cellStyle name="40% - Accent1 2 19" xfId="257" xr:uid="{00000000-0005-0000-0000-000000010000}"/>
    <cellStyle name="40% - Accent1 2 2" xfId="258" xr:uid="{00000000-0005-0000-0000-000001010000}"/>
    <cellStyle name="40% - Accent1 2 20" xfId="259" xr:uid="{00000000-0005-0000-0000-000002010000}"/>
    <cellStyle name="40% - Accent1 2 21" xfId="260" xr:uid="{00000000-0005-0000-0000-000003010000}"/>
    <cellStyle name="40% - Accent1 2 22" xfId="261" xr:uid="{00000000-0005-0000-0000-000004010000}"/>
    <cellStyle name="40% - Accent1 2 23" xfId="262" xr:uid="{00000000-0005-0000-0000-000005010000}"/>
    <cellStyle name="40% - Accent1 2 24" xfId="263" xr:uid="{00000000-0005-0000-0000-000006010000}"/>
    <cellStyle name="40% - Accent1 2 25" xfId="264" xr:uid="{00000000-0005-0000-0000-000007010000}"/>
    <cellStyle name="40% - Accent1 2 26" xfId="265" xr:uid="{00000000-0005-0000-0000-000008010000}"/>
    <cellStyle name="40% - Accent1 2 27" xfId="266" xr:uid="{00000000-0005-0000-0000-000009010000}"/>
    <cellStyle name="40% - Accent1 2 28" xfId="267" xr:uid="{00000000-0005-0000-0000-00000A010000}"/>
    <cellStyle name="40% - Accent1 2 29" xfId="268" xr:uid="{00000000-0005-0000-0000-00000B010000}"/>
    <cellStyle name="40% - Accent1 2 3" xfId="269" xr:uid="{00000000-0005-0000-0000-00000C010000}"/>
    <cellStyle name="40% - Accent1 2 30" xfId="270" xr:uid="{00000000-0005-0000-0000-00000D010000}"/>
    <cellStyle name="40% - Accent1 2 31" xfId="271" xr:uid="{00000000-0005-0000-0000-00000E010000}"/>
    <cellStyle name="40% - Accent1 2 32" xfId="272" xr:uid="{00000000-0005-0000-0000-00000F010000}"/>
    <cellStyle name="40% - Accent1 2 33" xfId="273" xr:uid="{00000000-0005-0000-0000-000010010000}"/>
    <cellStyle name="40% - Accent1 2 34" xfId="274" xr:uid="{00000000-0005-0000-0000-000011010000}"/>
    <cellStyle name="40% - Accent1 2 35" xfId="275" xr:uid="{00000000-0005-0000-0000-000012010000}"/>
    <cellStyle name="40% - Accent1 2 36" xfId="276" xr:uid="{00000000-0005-0000-0000-000013010000}"/>
    <cellStyle name="40% - Accent1 2 37" xfId="277" xr:uid="{00000000-0005-0000-0000-000014010000}"/>
    <cellStyle name="40% - Accent1 2 38" xfId="278" xr:uid="{00000000-0005-0000-0000-000015010000}"/>
    <cellStyle name="40% - Accent1 2 39" xfId="279" xr:uid="{00000000-0005-0000-0000-000016010000}"/>
    <cellStyle name="40% - Accent1 2 4" xfId="280" xr:uid="{00000000-0005-0000-0000-000017010000}"/>
    <cellStyle name="40% - Accent1 2 40" xfId="281" xr:uid="{00000000-0005-0000-0000-000018010000}"/>
    <cellStyle name="40% - Accent1 2 41" xfId="282" xr:uid="{00000000-0005-0000-0000-000019010000}"/>
    <cellStyle name="40% - Accent1 2 42" xfId="283" xr:uid="{00000000-0005-0000-0000-00001A010000}"/>
    <cellStyle name="40% - Accent1 2 43" xfId="284" xr:uid="{00000000-0005-0000-0000-00001B010000}"/>
    <cellStyle name="40% - Accent1 2 44" xfId="285" xr:uid="{00000000-0005-0000-0000-00001C010000}"/>
    <cellStyle name="40% - Accent1 2 45" xfId="286" xr:uid="{00000000-0005-0000-0000-00001D010000}"/>
    <cellStyle name="40% - Accent1 2 46" xfId="287" xr:uid="{00000000-0005-0000-0000-00001E010000}"/>
    <cellStyle name="40% - Accent1 2 47" xfId="288" xr:uid="{00000000-0005-0000-0000-00001F010000}"/>
    <cellStyle name="40% - Accent1 2 48" xfId="289" xr:uid="{00000000-0005-0000-0000-000020010000}"/>
    <cellStyle name="40% - Accent1 2 49" xfId="290" xr:uid="{00000000-0005-0000-0000-000021010000}"/>
    <cellStyle name="40% - Accent1 2 5" xfId="291" xr:uid="{00000000-0005-0000-0000-000022010000}"/>
    <cellStyle name="40% - Accent1 2 6" xfId="292" xr:uid="{00000000-0005-0000-0000-000023010000}"/>
    <cellStyle name="40% - Accent1 2 7" xfId="293" xr:uid="{00000000-0005-0000-0000-000024010000}"/>
    <cellStyle name="40% - Accent1 2 8" xfId="294" xr:uid="{00000000-0005-0000-0000-000025010000}"/>
    <cellStyle name="40% - Accent1 2 9" xfId="295" xr:uid="{00000000-0005-0000-0000-000026010000}"/>
    <cellStyle name="40% - Accent2" xfId="296" builtinId="35" customBuiltin="1"/>
    <cellStyle name="40% - Accent3 2" xfId="297" xr:uid="{00000000-0005-0000-0000-000028010000}"/>
    <cellStyle name="40% - Accent3 2 10" xfId="298" xr:uid="{00000000-0005-0000-0000-000029010000}"/>
    <cellStyle name="40% - Accent3 2 11" xfId="299" xr:uid="{00000000-0005-0000-0000-00002A010000}"/>
    <cellStyle name="40% - Accent3 2 12" xfId="300" xr:uid="{00000000-0005-0000-0000-00002B010000}"/>
    <cellStyle name="40% - Accent3 2 13" xfId="301" xr:uid="{00000000-0005-0000-0000-00002C010000}"/>
    <cellStyle name="40% - Accent3 2 14" xfId="302" xr:uid="{00000000-0005-0000-0000-00002D010000}"/>
    <cellStyle name="40% - Accent3 2 15" xfId="303" xr:uid="{00000000-0005-0000-0000-00002E010000}"/>
    <cellStyle name="40% - Accent3 2 16" xfId="304" xr:uid="{00000000-0005-0000-0000-00002F010000}"/>
    <cellStyle name="40% - Accent3 2 17" xfId="305" xr:uid="{00000000-0005-0000-0000-000030010000}"/>
    <cellStyle name="40% - Accent3 2 18" xfId="306" xr:uid="{00000000-0005-0000-0000-000031010000}"/>
    <cellStyle name="40% - Accent3 2 19" xfId="307" xr:uid="{00000000-0005-0000-0000-000032010000}"/>
    <cellStyle name="40% - Accent3 2 2" xfId="308" xr:uid="{00000000-0005-0000-0000-000033010000}"/>
    <cellStyle name="40% - Accent3 2 20" xfId="309" xr:uid="{00000000-0005-0000-0000-000034010000}"/>
    <cellStyle name="40% - Accent3 2 21" xfId="310" xr:uid="{00000000-0005-0000-0000-000035010000}"/>
    <cellStyle name="40% - Accent3 2 22" xfId="311" xr:uid="{00000000-0005-0000-0000-000036010000}"/>
    <cellStyle name="40% - Accent3 2 23" xfId="312" xr:uid="{00000000-0005-0000-0000-000037010000}"/>
    <cellStyle name="40% - Accent3 2 24" xfId="313" xr:uid="{00000000-0005-0000-0000-000038010000}"/>
    <cellStyle name="40% - Accent3 2 25" xfId="314" xr:uid="{00000000-0005-0000-0000-000039010000}"/>
    <cellStyle name="40% - Accent3 2 26" xfId="315" xr:uid="{00000000-0005-0000-0000-00003A010000}"/>
    <cellStyle name="40% - Accent3 2 27" xfId="316" xr:uid="{00000000-0005-0000-0000-00003B010000}"/>
    <cellStyle name="40% - Accent3 2 28" xfId="317" xr:uid="{00000000-0005-0000-0000-00003C010000}"/>
    <cellStyle name="40% - Accent3 2 29" xfId="318" xr:uid="{00000000-0005-0000-0000-00003D010000}"/>
    <cellStyle name="40% - Accent3 2 3" xfId="319" xr:uid="{00000000-0005-0000-0000-00003E010000}"/>
    <cellStyle name="40% - Accent3 2 30" xfId="320" xr:uid="{00000000-0005-0000-0000-00003F010000}"/>
    <cellStyle name="40% - Accent3 2 31" xfId="321" xr:uid="{00000000-0005-0000-0000-000040010000}"/>
    <cellStyle name="40% - Accent3 2 32" xfId="322" xr:uid="{00000000-0005-0000-0000-000041010000}"/>
    <cellStyle name="40% - Accent3 2 33" xfId="323" xr:uid="{00000000-0005-0000-0000-000042010000}"/>
    <cellStyle name="40% - Accent3 2 34" xfId="324" xr:uid="{00000000-0005-0000-0000-000043010000}"/>
    <cellStyle name="40% - Accent3 2 35" xfId="325" xr:uid="{00000000-0005-0000-0000-000044010000}"/>
    <cellStyle name="40% - Accent3 2 36" xfId="326" xr:uid="{00000000-0005-0000-0000-000045010000}"/>
    <cellStyle name="40% - Accent3 2 37" xfId="327" xr:uid="{00000000-0005-0000-0000-000046010000}"/>
    <cellStyle name="40% - Accent3 2 38" xfId="328" xr:uid="{00000000-0005-0000-0000-000047010000}"/>
    <cellStyle name="40% - Accent3 2 39" xfId="329" xr:uid="{00000000-0005-0000-0000-000048010000}"/>
    <cellStyle name="40% - Accent3 2 4" xfId="330" xr:uid="{00000000-0005-0000-0000-000049010000}"/>
    <cellStyle name="40% - Accent3 2 40" xfId="331" xr:uid="{00000000-0005-0000-0000-00004A010000}"/>
    <cellStyle name="40% - Accent3 2 41" xfId="332" xr:uid="{00000000-0005-0000-0000-00004B010000}"/>
    <cellStyle name="40% - Accent3 2 42" xfId="333" xr:uid="{00000000-0005-0000-0000-00004C010000}"/>
    <cellStyle name="40% - Accent3 2 43" xfId="334" xr:uid="{00000000-0005-0000-0000-00004D010000}"/>
    <cellStyle name="40% - Accent3 2 44" xfId="335" xr:uid="{00000000-0005-0000-0000-00004E010000}"/>
    <cellStyle name="40% - Accent3 2 45" xfId="336" xr:uid="{00000000-0005-0000-0000-00004F010000}"/>
    <cellStyle name="40% - Accent3 2 46" xfId="337" xr:uid="{00000000-0005-0000-0000-000050010000}"/>
    <cellStyle name="40% - Accent3 2 47" xfId="338" xr:uid="{00000000-0005-0000-0000-000051010000}"/>
    <cellStyle name="40% - Accent3 2 48" xfId="339" xr:uid="{00000000-0005-0000-0000-000052010000}"/>
    <cellStyle name="40% - Accent3 2 49" xfId="340" xr:uid="{00000000-0005-0000-0000-000053010000}"/>
    <cellStyle name="40% - Accent3 2 5" xfId="341" xr:uid="{00000000-0005-0000-0000-000054010000}"/>
    <cellStyle name="40% - Accent3 2 6" xfId="342" xr:uid="{00000000-0005-0000-0000-000055010000}"/>
    <cellStyle name="40% - Accent3 2 7" xfId="343" xr:uid="{00000000-0005-0000-0000-000056010000}"/>
    <cellStyle name="40% - Accent3 2 8" xfId="344" xr:uid="{00000000-0005-0000-0000-000057010000}"/>
    <cellStyle name="40% - Accent3 2 9" xfId="345" xr:uid="{00000000-0005-0000-0000-000058010000}"/>
    <cellStyle name="40% - Accent4 2" xfId="346" xr:uid="{00000000-0005-0000-0000-000059010000}"/>
    <cellStyle name="40% - Accent4 2 10" xfId="347" xr:uid="{00000000-0005-0000-0000-00005A010000}"/>
    <cellStyle name="40% - Accent4 2 11" xfId="348" xr:uid="{00000000-0005-0000-0000-00005B010000}"/>
    <cellStyle name="40% - Accent4 2 12" xfId="349" xr:uid="{00000000-0005-0000-0000-00005C010000}"/>
    <cellStyle name="40% - Accent4 2 13" xfId="350" xr:uid="{00000000-0005-0000-0000-00005D010000}"/>
    <cellStyle name="40% - Accent4 2 14" xfId="351" xr:uid="{00000000-0005-0000-0000-00005E010000}"/>
    <cellStyle name="40% - Accent4 2 15" xfId="352" xr:uid="{00000000-0005-0000-0000-00005F010000}"/>
    <cellStyle name="40% - Accent4 2 16" xfId="353" xr:uid="{00000000-0005-0000-0000-000060010000}"/>
    <cellStyle name="40% - Accent4 2 17" xfId="354" xr:uid="{00000000-0005-0000-0000-000061010000}"/>
    <cellStyle name="40% - Accent4 2 18" xfId="355" xr:uid="{00000000-0005-0000-0000-000062010000}"/>
    <cellStyle name="40% - Accent4 2 19" xfId="356" xr:uid="{00000000-0005-0000-0000-000063010000}"/>
    <cellStyle name="40% - Accent4 2 2" xfId="357" xr:uid="{00000000-0005-0000-0000-000064010000}"/>
    <cellStyle name="40% - Accent4 2 20" xfId="358" xr:uid="{00000000-0005-0000-0000-000065010000}"/>
    <cellStyle name="40% - Accent4 2 21" xfId="359" xr:uid="{00000000-0005-0000-0000-000066010000}"/>
    <cellStyle name="40% - Accent4 2 22" xfId="360" xr:uid="{00000000-0005-0000-0000-000067010000}"/>
    <cellStyle name="40% - Accent4 2 23" xfId="361" xr:uid="{00000000-0005-0000-0000-000068010000}"/>
    <cellStyle name="40% - Accent4 2 24" xfId="362" xr:uid="{00000000-0005-0000-0000-000069010000}"/>
    <cellStyle name="40% - Accent4 2 25" xfId="363" xr:uid="{00000000-0005-0000-0000-00006A010000}"/>
    <cellStyle name="40% - Accent4 2 26" xfId="364" xr:uid="{00000000-0005-0000-0000-00006B010000}"/>
    <cellStyle name="40% - Accent4 2 27" xfId="365" xr:uid="{00000000-0005-0000-0000-00006C010000}"/>
    <cellStyle name="40% - Accent4 2 28" xfId="366" xr:uid="{00000000-0005-0000-0000-00006D010000}"/>
    <cellStyle name="40% - Accent4 2 29" xfId="367" xr:uid="{00000000-0005-0000-0000-00006E010000}"/>
    <cellStyle name="40% - Accent4 2 3" xfId="368" xr:uid="{00000000-0005-0000-0000-00006F010000}"/>
    <cellStyle name="40% - Accent4 2 30" xfId="369" xr:uid="{00000000-0005-0000-0000-000070010000}"/>
    <cellStyle name="40% - Accent4 2 31" xfId="370" xr:uid="{00000000-0005-0000-0000-000071010000}"/>
    <cellStyle name="40% - Accent4 2 32" xfId="371" xr:uid="{00000000-0005-0000-0000-000072010000}"/>
    <cellStyle name="40% - Accent4 2 33" xfId="372" xr:uid="{00000000-0005-0000-0000-000073010000}"/>
    <cellStyle name="40% - Accent4 2 34" xfId="373" xr:uid="{00000000-0005-0000-0000-000074010000}"/>
    <cellStyle name="40% - Accent4 2 35" xfId="374" xr:uid="{00000000-0005-0000-0000-000075010000}"/>
    <cellStyle name="40% - Accent4 2 36" xfId="375" xr:uid="{00000000-0005-0000-0000-000076010000}"/>
    <cellStyle name="40% - Accent4 2 37" xfId="376" xr:uid="{00000000-0005-0000-0000-000077010000}"/>
    <cellStyle name="40% - Accent4 2 38" xfId="377" xr:uid="{00000000-0005-0000-0000-000078010000}"/>
    <cellStyle name="40% - Accent4 2 39" xfId="378" xr:uid="{00000000-0005-0000-0000-000079010000}"/>
    <cellStyle name="40% - Accent4 2 4" xfId="379" xr:uid="{00000000-0005-0000-0000-00007A010000}"/>
    <cellStyle name="40% - Accent4 2 40" xfId="380" xr:uid="{00000000-0005-0000-0000-00007B010000}"/>
    <cellStyle name="40% - Accent4 2 41" xfId="381" xr:uid="{00000000-0005-0000-0000-00007C010000}"/>
    <cellStyle name="40% - Accent4 2 42" xfId="382" xr:uid="{00000000-0005-0000-0000-00007D010000}"/>
    <cellStyle name="40% - Accent4 2 43" xfId="383" xr:uid="{00000000-0005-0000-0000-00007E010000}"/>
    <cellStyle name="40% - Accent4 2 44" xfId="384" xr:uid="{00000000-0005-0000-0000-00007F010000}"/>
    <cellStyle name="40% - Accent4 2 45" xfId="385" xr:uid="{00000000-0005-0000-0000-000080010000}"/>
    <cellStyle name="40% - Accent4 2 46" xfId="386" xr:uid="{00000000-0005-0000-0000-000081010000}"/>
    <cellStyle name="40% - Accent4 2 47" xfId="387" xr:uid="{00000000-0005-0000-0000-000082010000}"/>
    <cellStyle name="40% - Accent4 2 48" xfId="388" xr:uid="{00000000-0005-0000-0000-000083010000}"/>
    <cellStyle name="40% - Accent4 2 49" xfId="389" xr:uid="{00000000-0005-0000-0000-000084010000}"/>
    <cellStyle name="40% - Accent4 2 5" xfId="390" xr:uid="{00000000-0005-0000-0000-000085010000}"/>
    <cellStyle name="40% - Accent4 2 6" xfId="391" xr:uid="{00000000-0005-0000-0000-000086010000}"/>
    <cellStyle name="40% - Accent4 2 7" xfId="392" xr:uid="{00000000-0005-0000-0000-000087010000}"/>
    <cellStyle name="40% - Accent4 2 8" xfId="393" xr:uid="{00000000-0005-0000-0000-000088010000}"/>
    <cellStyle name="40% - Accent4 2 9" xfId="394" xr:uid="{00000000-0005-0000-0000-000089010000}"/>
    <cellStyle name="40% - Accent5 2" xfId="395" xr:uid="{00000000-0005-0000-0000-00008A010000}"/>
    <cellStyle name="40% - Accent5 2 10" xfId="396" xr:uid="{00000000-0005-0000-0000-00008B010000}"/>
    <cellStyle name="40% - Accent5 2 11" xfId="397" xr:uid="{00000000-0005-0000-0000-00008C010000}"/>
    <cellStyle name="40% - Accent5 2 12" xfId="398" xr:uid="{00000000-0005-0000-0000-00008D010000}"/>
    <cellStyle name="40% - Accent5 2 13" xfId="399" xr:uid="{00000000-0005-0000-0000-00008E010000}"/>
    <cellStyle name="40% - Accent5 2 14" xfId="400" xr:uid="{00000000-0005-0000-0000-00008F010000}"/>
    <cellStyle name="40% - Accent5 2 15" xfId="401" xr:uid="{00000000-0005-0000-0000-000090010000}"/>
    <cellStyle name="40% - Accent5 2 16" xfId="402" xr:uid="{00000000-0005-0000-0000-000091010000}"/>
    <cellStyle name="40% - Accent5 2 17" xfId="403" xr:uid="{00000000-0005-0000-0000-000092010000}"/>
    <cellStyle name="40% - Accent5 2 18" xfId="404" xr:uid="{00000000-0005-0000-0000-000093010000}"/>
    <cellStyle name="40% - Accent5 2 19" xfId="405" xr:uid="{00000000-0005-0000-0000-000094010000}"/>
    <cellStyle name="40% - Accent5 2 2" xfId="406" xr:uid="{00000000-0005-0000-0000-000095010000}"/>
    <cellStyle name="40% - Accent5 2 20" xfId="407" xr:uid="{00000000-0005-0000-0000-000096010000}"/>
    <cellStyle name="40% - Accent5 2 21" xfId="408" xr:uid="{00000000-0005-0000-0000-000097010000}"/>
    <cellStyle name="40% - Accent5 2 22" xfId="409" xr:uid="{00000000-0005-0000-0000-000098010000}"/>
    <cellStyle name="40% - Accent5 2 23" xfId="410" xr:uid="{00000000-0005-0000-0000-000099010000}"/>
    <cellStyle name="40% - Accent5 2 24" xfId="411" xr:uid="{00000000-0005-0000-0000-00009A010000}"/>
    <cellStyle name="40% - Accent5 2 25" xfId="412" xr:uid="{00000000-0005-0000-0000-00009B010000}"/>
    <cellStyle name="40% - Accent5 2 26" xfId="413" xr:uid="{00000000-0005-0000-0000-00009C010000}"/>
    <cellStyle name="40% - Accent5 2 27" xfId="414" xr:uid="{00000000-0005-0000-0000-00009D010000}"/>
    <cellStyle name="40% - Accent5 2 28" xfId="415" xr:uid="{00000000-0005-0000-0000-00009E010000}"/>
    <cellStyle name="40% - Accent5 2 29" xfId="416" xr:uid="{00000000-0005-0000-0000-00009F010000}"/>
    <cellStyle name="40% - Accent5 2 3" xfId="417" xr:uid="{00000000-0005-0000-0000-0000A0010000}"/>
    <cellStyle name="40% - Accent5 2 30" xfId="418" xr:uid="{00000000-0005-0000-0000-0000A1010000}"/>
    <cellStyle name="40% - Accent5 2 31" xfId="419" xr:uid="{00000000-0005-0000-0000-0000A2010000}"/>
    <cellStyle name="40% - Accent5 2 32" xfId="420" xr:uid="{00000000-0005-0000-0000-0000A3010000}"/>
    <cellStyle name="40% - Accent5 2 33" xfId="421" xr:uid="{00000000-0005-0000-0000-0000A4010000}"/>
    <cellStyle name="40% - Accent5 2 34" xfId="422" xr:uid="{00000000-0005-0000-0000-0000A5010000}"/>
    <cellStyle name="40% - Accent5 2 35" xfId="423" xr:uid="{00000000-0005-0000-0000-0000A6010000}"/>
    <cellStyle name="40% - Accent5 2 36" xfId="424" xr:uid="{00000000-0005-0000-0000-0000A7010000}"/>
    <cellStyle name="40% - Accent5 2 37" xfId="425" xr:uid="{00000000-0005-0000-0000-0000A8010000}"/>
    <cellStyle name="40% - Accent5 2 38" xfId="426" xr:uid="{00000000-0005-0000-0000-0000A9010000}"/>
    <cellStyle name="40% - Accent5 2 39" xfId="427" xr:uid="{00000000-0005-0000-0000-0000AA010000}"/>
    <cellStyle name="40% - Accent5 2 4" xfId="428" xr:uid="{00000000-0005-0000-0000-0000AB010000}"/>
    <cellStyle name="40% - Accent5 2 40" xfId="429" xr:uid="{00000000-0005-0000-0000-0000AC010000}"/>
    <cellStyle name="40% - Accent5 2 41" xfId="430" xr:uid="{00000000-0005-0000-0000-0000AD010000}"/>
    <cellStyle name="40% - Accent5 2 42" xfId="431" xr:uid="{00000000-0005-0000-0000-0000AE010000}"/>
    <cellStyle name="40% - Accent5 2 43" xfId="432" xr:uid="{00000000-0005-0000-0000-0000AF010000}"/>
    <cellStyle name="40% - Accent5 2 44" xfId="433" xr:uid="{00000000-0005-0000-0000-0000B0010000}"/>
    <cellStyle name="40% - Accent5 2 45" xfId="434" xr:uid="{00000000-0005-0000-0000-0000B1010000}"/>
    <cellStyle name="40% - Accent5 2 46" xfId="435" xr:uid="{00000000-0005-0000-0000-0000B2010000}"/>
    <cellStyle name="40% - Accent5 2 47" xfId="436" xr:uid="{00000000-0005-0000-0000-0000B3010000}"/>
    <cellStyle name="40% - Accent5 2 48" xfId="437" xr:uid="{00000000-0005-0000-0000-0000B4010000}"/>
    <cellStyle name="40% - Accent5 2 49" xfId="438" xr:uid="{00000000-0005-0000-0000-0000B5010000}"/>
    <cellStyle name="40% - Accent5 2 5" xfId="439" xr:uid="{00000000-0005-0000-0000-0000B6010000}"/>
    <cellStyle name="40% - Accent5 2 6" xfId="440" xr:uid="{00000000-0005-0000-0000-0000B7010000}"/>
    <cellStyle name="40% - Accent5 2 7" xfId="441" xr:uid="{00000000-0005-0000-0000-0000B8010000}"/>
    <cellStyle name="40% - Accent5 2 8" xfId="442" xr:uid="{00000000-0005-0000-0000-0000B9010000}"/>
    <cellStyle name="40% - Accent5 2 9" xfId="443" xr:uid="{00000000-0005-0000-0000-0000BA010000}"/>
    <cellStyle name="40% - Accent6 2" xfId="444" xr:uid="{00000000-0005-0000-0000-0000BB010000}"/>
    <cellStyle name="40% - Accent6 2 10" xfId="445" xr:uid="{00000000-0005-0000-0000-0000BC010000}"/>
    <cellStyle name="40% - Accent6 2 11" xfId="446" xr:uid="{00000000-0005-0000-0000-0000BD010000}"/>
    <cellStyle name="40% - Accent6 2 12" xfId="447" xr:uid="{00000000-0005-0000-0000-0000BE010000}"/>
    <cellStyle name="40% - Accent6 2 13" xfId="448" xr:uid="{00000000-0005-0000-0000-0000BF010000}"/>
    <cellStyle name="40% - Accent6 2 14" xfId="449" xr:uid="{00000000-0005-0000-0000-0000C0010000}"/>
    <cellStyle name="40% - Accent6 2 15" xfId="450" xr:uid="{00000000-0005-0000-0000-0000C1010000}"/>
    <cellStyle name="40% - Accent6 2 16" xfId="451" xr:uid="{00000000-0005-0000-0000-0000C2010000}"/>
    <cellStyle name="40% - Accent6 2 17" xfId="452" xr:uid="{00000000-0005-0000-0000-0000C3010000}"/>
    <cellStyle name="40% - Accent6 2 18" xfId="453" xr:uid="{00000000-0005-0000-0000-0000C4010000}"/>
    <cellStyle name="40% - Accent6 2 19" xfId="454" xr:uid="{00000000-0005-0000-0000-0000C5010000}"/>
    <cellStyle name="40% - Accent6 2 2" xfId="455" xr:uid="{00000000-0005-0000-0000-0000C6010000}"/>
    <cellStyle name="40% - Accent6 2 20" xfId="456" xr:uid="{00000000-0005-0000-0000-0000C7010000}"/>
    <cellStyle name="40% - Accent6 2 21" xfId="457" xr:uid="{00000000-0005-0000-0000-0000C8010000}"/>
    <cellStyle name="40% - Accent6 2 22" xfId="458" xr:uid="{00000000-0005-0000-0000-0000C9010000}"/>
    <cellStyle name="40% - Accent6 2 23" xfId="459" xr:uid="{00000000-0005-0000-0000-0000CA010000}"/>
    <cellStyle name="40% - Accent6 2 24" xfId="460" xr:uid="{00000000-0005-0000-0000-0000CB010000}"/>
    <cellStyle name="40% - Accent6 2 25" xfId="461" xr:uid="{00000000-0005-0000-0000-0000CC010000}"/>
    <cellStyle name="40% - Accent6 2 26" xfId="462" xr:uid="{00000000-0005-0000-0000-0000CD010000}"/>
    <cellStyle name="40% - Accent6 2 27" xfId="463" xr:uid="{00000000-0005-0000-0000-0000CE010000}"/>
    <cellStyle name="40% - Accent6 2 28" xfId="464" xr:uid="{00000000-0005-0000-0000-0000CF010000}"/>
    <cellStyle name="40% - Accent6 2 29" xfId="465" xr:uid="{00000000-0005-0000-0000-0000D0010000}"/>
    <cellStyle name="40% - Accent6 2 3" xfId="466" xr:uid="{00000000-0005-0000-0000-0000D1010000}"/>
    <cellStyle name="40% - Accent6 2 30" xfId="467" xr:uid="{00000000-0005-0000-0000-0000D2010000}"/>
    <cellStyle name="40% - Accent6 2 31" xfId="468" xr:uid="{00000000-0005-0000-0000-0000D3010000}"/>
    <cellStyle name="40% - Accent6 2 32" xfId="469" xr:uid="{00000000-0005-0000-0000-0000D4010000}"/>
    <cellStyle name="40% - Accent6 2 33" xfId="470" xr:uid="{00000000-0005-0000-0000-0000D5010000}"/>
    <cellStyle name="40% - Accent6 2 34" xfId="471" xr:uid="{00000000-0005-0000-0000-0000D6010000}"/>
    <cellStyle name="40% - Accent6 2 35" xfId="472" xr:uid="{00000000-0005-0000-0000-0000D7010000}"/>
    <cellStyle name="40% - Accent6 2 36" xfId="473" xr:uid="{00000000-0005-0000-0000-0000D8010000}"/>
    <cellStyle name="40% - Accent6 2 37" xfId="474" xr:uid="{00000000-0005-0000-0000-0000D9010000}"/>
    <cellStyle name="40% - Accent6 2 38" xfId="475" xr:uid="{00000000-0005-0000-0000-0000DA010000}"/>
    <cellStyle name="40% - Accent6 2 39" xfId="476" xr:uid="{00000000-0005-0000-0000-0000DB010000}"/>
    <cellStyle name="40% - Accent6 2 4" xfId="477" xr:uid="{00000000-0005-0000-0000-0000DC010000}"/>
    <cellStyle name="40% - Accent6 2 40" xfId="478" xr:uid="{00000000-0005-0000-0000-0000DD010000}"/>
    <cellStyle name="40% - Accent6 2 41" xfId="479" xr:uid="{00000000-0005-0000-0000-0000DE010000}"/>
    <cellStyle name="40% - Accent6 2 42" xfId="480" xr:uid="{00000000-0005-0000-0000-0000DF010000}"/>
    <cellStyle name="40% - Accent6 2 43" xfId="481" xr:uid="{00000000-0005-0000-0000-0000E0010000}"/>
    <cellStyle name="40% - Accent6 2 44" xfId="482" xr:uid="{00000000-0005-0000-0000-0000E1010000}"/>
    <cellStyle name="40% - Accent6 2 45" xfId="483" xr:uid="{00000000-0005-0000-0000-0000E2010000}"/>
    <cellStyle name="40% - Accent6 2 46" xfId="484" xr:uid="{00000000-0005-0000-0000-0000E3010000}"/>
    <cellStyle name="40% - Accent6 2 47" xfId="485" xr:uid="{00000000-0005-0000-0000-0000E4010000}"/>
    <cellStyle name="40% - Accent6 2 48" xfId="486" xr:uid="{00000000-0005-0000-0000-0000E5010000}"/>
    <cellStyle name="40% - Accent6 2 49" xfId="487" xr:uid="{00000000-0005-0000-0000-0000E6010000}"/>
    <cellStyle name="40% - Accent6 2 5" xfId="488" xr:uid="{00000000-0005-0000-0000-0000E7010000}"/>
    <cellStyle name="40% - Accent6 2 6" xfId="489" xr:uid="{00000000-0005-0000-0000-0000E8010000}"/>
    <cellStyle name="40% - Accent6 2 7" xfId="490" xr:uid="{00000000-0005-0000-0000-0000E9010000}"/>
    <cellStyle name="40% - Accent6 2 8" xfId="491" xr:uid="{00000000-0005-0000-0000-0000EA010000}"/>
    <cellStyle name="40% - Accent6 2 9" xfId="492" xr:uid="{00000000-0005-0000-0000-0000EB010000}"/>
    <cellStyle name="60% - Accent1 2" xfId="493" xr:uid="{00000000-0005-0000-0000-0000EC010000}"/>
    <cellStyle name="60% - Accent1 2 10" xfId="494" xr:uid="{00000000-0005-0000-0000-0000ED010000}"/>
    <cellStyle name="60% - Accent1 2 11" xfId="495" xr:uid="{00000000-0005-0000-0000-0000EE010000}"/>
    <cellStyle name="60% - Accent1 2 12" xfId="496" xr:uid="{00000000-0005-0000-0000-0000EF010000}"/>
    <cellStyle name="60% - Accent1 2 13" xfId="497" xr:uid="{00000000-0005-0000-0000-0000F0010000}"/>
    <cellStyle name="60% - Accent1 2 14" xfId="498" xr:uid="{00000000-0005-0000-0000-0000F1010000}"/>
    <cellStyle name="60% - Accent1 2 15" xfId="499" xr:uid="{00000000-0005-0000-0000-0000F2010000}"/>
    <cellStyle name="60% - Accent1 2 16" xfId="500" xr:uid="{00000000-0005-0000-0000-0000F3010000}"/>
    <cellStyle name="60% - Accent1 2 17" xfId="501" xr:uid="{00000000-0005-0000-0000-0000F4010000}"/>
    <cellStyle name="60% - Accent1 2 18" xfId="502" xr:uid="{00000000-0005-0000-0000-0000F5010000}"/>
    <cellStyle name="60% - Accent1 2 19" xfId="503" xr:uid="{00000000-0005-0000-0000-0000F6010000}"/>
    <cellStyle name="60% - Accent1 2 2" xfId="504" xr:uid="{00000000-0005-0000-0000-0000F7010000}"/>
    <cellStyle name="60% - Accent1 2 20" xfId="505" xr:uid="{00000000-0005-0000-0000-0000F8010000}"/>
    <cellStyle name="60% - Accent1 2 21" xfId="506" xr:uid="{00000000-0005-0000-0000-0000F9010000}"/>
    <cellStyle name="60% - Accent1 2 22" xfId="507" xr:uid="{00000000-0005-0000-0000-0000FA010000}"/>
    <cellStyle name="60% - Accent1 2 23" xfId="508" xr:uid="{00000000-0005-0000-0000-0000FB010000}"/>
    <cellStyle name="60% - Accent1 2 24" xfId="509" xr:uid="{00000000-0005-0000-0000-0000FC010000}"/>
    <cellStyle name="60% - Accent1 2 25" xfId="510" xr:uid="{00000000-0005-0000-0000-0000FD010000}"/>
    <cellStyle name="60% - Accent1 2 26" xfId="511" xr:uid="{00000000-0005-0000-0000-0000FE010000}"/>
    <cellStyle name="60% - Accent1 2 27" xfId="512" xr:uid="{00000000-0005-0000-0000-0000FF010000}"/>
    <cellStyle name="60% - Accent1 2 28" xfId="513" xr:uid="{00000000-0005-0000-0000-000000020000}"/>
    <cellStyle name="60% - Accent1 2 29" xfId="514" xr:uid="{00000000-0005-0000-0000-000001020000}"/>
    <cellStyle name="60% - Accent1 2 3" xfId="515" xr:uid="{00000000-0005-0000-0000-000002020000}"/>
    <cellStyle name="60% - Accent1 2 30" xfId="516" xr:uid="{00000000-0005-0000-0000-000003020000}"/>
    <cellStyle name="60% - Accent1 2 31" xfId="517" xr:uid="{00000000-0005-0000-0000-000004020000}"/>
    <cellStyle name="60% - Accent1 2 32" xfId="518" xr:uid="{00000000-0005-0000-0000-000005020000}"/>
    <cellStyle name="60% - Accent1 2 33" xfId="519" xr:uid="{00000000-0005-0000-0000-000006020000}"/>
    <cellStyle name="60% - Accent1 2 34" xfId="520" xr:uid="{00000000-0005-0000-0000-000007020000}"/>
    <cellStyle name="60% - Accent1 2 35" xfId="521" xr:uid="{00000000-0005-0000-0000-000008020000}"/>
    <cellStyle name="60% - Accent1 2 36" xfId="522" xr:uid="{00000000-0005-0000-0000-000009020000}"/>
    <cellStyle name="60% - Accent1 2 37" xfId="523" xr:uid="{00000000-0005-0000-0000-00000A020000}"/>
    <cellStyle name="60% - Accent1 2 38" xfId="524" xr:uid="{00000000-0005-0000-0000-00000B020000}"/>
    <cellStyle name="60% - Accent1 2 39" xfId="525" xr:uid="{00000000-0005-0000-0000-00000C020000}"/>
    <cellStyle name="60% - Accent1 2 4" xfId="526" xr:uid="{00000000-0005-0000-0000-00000D020000}"/>
    <cellStyle name="60% - Accent1 2 40" xfId="527" xr:uid="{00000000-0005-0000-0000-00000E020000}"/>
    <cellStyle name="60% - Accent1 2 41" xfId="528" xr:uid="{00000000-0005-0000-0000-00000F020000}"/>
    <cellStyle name="60% - Accent1 2 42" xfId="529" xr:uid="{00000000-0005-0000-0000-000010020000}"/>
    <cellStyle name="60% - Accent1 2 43" xfId="530" xr:uid="{00000000-0005-0000-0000-000011020000}"/>
    <cellStyle name="60% - Accent1 2 44" xfId="531" xr:uid="{00000000-0005-0000-0000-000012020000}"/>
    <cellStyle name="60% - Accent1 2 45" xfId="532" xr:uid="{00000000-0005-0000-0000-000013020000}"/>
    <cellStyle name="60% - Accent1 2 46" xfId="533" xr:uid="{00000000-0005-0000-0000-000014020000}"/>
    <cellStyle name="60% - Accent1 2 47" xfId="534" xr:uid="{00000000-0005-0000-0000-000015020000}"/>
    <cellStyle name="60% - Accent1 2 48" xfId="535" xr:uid="{00000000-0005-0000-0000-000016020000}"/>
    <cellStyle name="60% - Accent1 2 49" xfId="536" xr:uid="{00000000-0005-0000-0000-000017020000}"/>
    <cellStyle name="60% - Accent1 2 5" xfId="537" xr:uid="{00000000-0005-0000-0000-000018020000}"/>
    <cellStyle name="60% - Accent1 2 6" xfId="538" xr:uid="{00000000-0005-0000-0000-000019020000}"/>
    <cellStyle name="60% - Accent1 2 7" xfId="539" xr:uid="{00000000-0005-0000-0000-00001A020000}"/>
    <cellStyle name="60% - Accent1 2 8" xfId="540" xr:uid="{00000000-0005-0000-0000-00001B020000}"/>
    <cellStyle name="60% - Accent1 2 9" xfId="541" xr:uid="{00000000-0005-0000-0000-00001C020000}"/>
    <cellStyle name="60% - Accent2 2" xfId="542" xr:uid="{00000000-0005-0000-0000-00001D020000}"/>
    <cellStyle name="60% - Accent2 2 10" xfId="543" xr:uid="{00000000-0005-0000-0000-00001E020000}"/>
    <cellStyle name="60% - Accent2 2 11" xfId="544" xr:uid="{00000000-0005-0000-0000-00001F020000}"/>
    <cellStyle name="60% - Accent2 2 12" xfId="545" xr:uid="{00000000-0005-0000-0000-000020020000}"/>
    <cellStyle name="60% - Accent2 2 13" xfId="546" xr:uid="{00000000-0005-0000-0000-000021020000}"/>
    <cellStyle name="60% - Accent2 2 14" xfId="547" xr:uid="{00000000-0005-0000-0000-000022020000}"/>
    <cellStyle name="60% - Accent2 2 15" xfId="548" xr:uid="{00000000-0005-0000-0000-000023020000}"/>
    <cellStyle name="60% - Accent2 2 16" xfId="549" xr:uid="{00000000-0005-0000-0000-000024020000}"/>
    <cellStyle name="60% - Accent2 2 17" xfId="550" xr:uid="{00000000-0005-0000-0000-000025020000}"/>
    <cellStyle name="60% - Accent2 2 18" xfId="551" xr:uid="{00000000-0005-0000-0000-000026020000}"/>
    <cellStyle name="60% - Accent2 2 19" xfId="552" xr:uid="{00000000-0005-0000-0000-000027020000}"/>
    <cellStyle name="60% - Accent2 2 2" xfId="553" xr:uid="{00000000-0005-0000-0000-000028020000}"/>
    <cellStyle name="60% - Accent2 2 20" xfId="554" xr:uid="{00000000-0005-0000-0000-000029020000}"/>
    <cellStyle name="60% - Accent2 2 21" xfId="555" xr:uid="{00000000-0005-0000-0000-00002A020000}"/>
    <cellStyle name="60% - Accent2 2 22" xfId="556" xr:uid="{00000000-0005-0000-0000-00002B020000}"/>
    <cellStyle name="60% - Accent2 2 23" xfId="557" xr:uid="{00000000-0005-0000-0000-00002C020000}"/>
    <cellStyle name="60% - Accent2 2 24" xfId="558" xr:uid="{00000000-0005-0000-0000-00002D020000}"/>
    <cellStyle name="60% - Accent2 2 25" xfId="559" xr:uid="{00000000-0005-0000-0000-00002E020000}"/>
    <cellStyle name="60% - Accent2 2 26" xfId="560" xr:uid="{00000000-0005-0000-0000-00002F020000}"/>
    <cellStyle name="60% - Accent2 2 27" xfId="561" xr:uid="{00000000-0005-0000-0000-000030020000}"/>
    <cellStyle name="60% - Accent2 2 28" xfId="562" xr:uid="{00000000-0005-0000-0000-000031020000}"/>
    <cellStyle name="60% - Accent2 2 29" xfId="563" xr:uid="{00000000-0005-0000-0000-000032020000}"/>
    <cellStyle name="60% - Accent2 2 3" xfId="564" xr:uid="{00000000-0005-0000-0000-000033020000}"/>
    <cellStyle name="60% - Accent2 2 30" xfId="565" xr:uid="{00000000-0005-0000-0000-000034020000}"/>
    <cellStyle name="60% - Accent2 2 31" xfId="566" xr:uid="{00000000-0005-0000-0000-000035020000}"/>
    <cellStyle name="60% - Accent2 2 32" xfId="567" xr:uid="{00000000-0005-0000-0000-000036020000}"/>
    <cellStyle name="60% - Accent2 2 33" xfId="568" xr:uid="{00000000-0005-0000-0000-000037020000}"/>
    <cellStyle name="60% - Accent2 2 34" xfId="569" xr:uid="{00000000-0005-0000-0000-000038020000}"/>
    <cellStyle name="60% - Accent2 2 35" xfId="570" xr:uid="{00000000-0005-0000-0000-000039020000}"/>
    <cellStyle name="60% - Accent2 2 36" xfId="571" xr:uid="{00000000-0005-0000-0000-00003A020000}"/>
    <cellStyle name="60% - Accent2 2 37" xfId="572" xr:uid="{00000000-0005-0000-0000-00003B020000}"/>
    <cellStyle name="60% - Accent2 2 38" xfId="573" xr:uid="{00000000-0005-0000-0000-00003C020000}"/>
    <cellStyle name="60% - Accent2 2 39" xfId="574" xr:uid="{00000000-0005-0000-0000-00003D020000}"/>
    <cellStyle name="60% - Accent2 2 4" xfId="575" xr:uid="{00000000-0005-0000-0000-00003E020000}"/>
    <cellStyle name="60% - Accent2 2 40" xfId="576" xr:uid="{00000000-0005-0000-0000-00003F020000}"/>
    <cellStyle name="60% - Accent2 2 41" xfId="577" xr:uid="{00000000-0005-0000-0000-000040020000}"/>
    <cellStyle name="60% - Accent2 2 42" xfId="578" xr:uid="{00000000-0005-0000-0000-000041020000}"/>
    <cellStyle name="60% - Accent2 2 43" xfId="579" xr:uid="{00000000-0005-0000-0000-000042020000}"/>
    <cellStyle name="60% - Accent2 2 44" xfId="580" xr:uid="{00000000-0005-0000-0000-000043020000}"/>
    <cellStyle name="60% - Accent2 2 45" xfId="581" xr:uid="{00000000-0005-0000-0000-000044020000}"/>
    <cellStyle name="60% - Accent2 2 46" xfId="582" xr:uid="{00000000-0005-0000-0000-000045020000}"/>
    <cellStyle name="60% - Accent2 2 47" xfId="583" xr:uid="{00000000-0005-0000-0000-000046020000}"/>
    <cellStyle name="60% - Accent2 2 48" xfId="584" xr:uid="{00000000-0005-0000-0000-000047020000}"/>
    <cellStyle name="60% - Accent2 2 49" xfId="585" xr:uid="{00000000-0005-0000-0000-000048020000}"/>
    <cellStyle name="60% - Accent2 2 5" xfId="586" xr:uid="{00000000-0005-0000-0000-000049020000}"/>
    <cellStyle name="60% - Accent2 2 6" xfId="587" xr:uid="{00000000-0005-0000-0000-00004A020000}"/>
    <cellStyle name="60% - Accent2 2 7" xfId="588" xr:uid="{00000000-0005-0000-0000-00004B020000}"/>
    <cellStyle name="60% - Accent2 2 8" xfId="589" xr:uid="{00000000-0005-0000-0000-00004C020000}"/>
    <cellStyle name="60% - Accent2 2 9" xfId="590" xr:uid="{00000000-0005-0000-0000-00004D020000}"/>
    <cellStyle name="60% - Accent3 2" xfId="591" xr:uid="{00000000-0005-0000-0000-00004E020000}"/>
    <cellStyle name="60% - Accent3 2 10" xfId="592" xr:uid="{00000000-0005-0000-0000-00004F020000}"/>
    <cellStyle name="60% - Accent3 2 11" xfId="593" xr:uid="{00000000-0005-0000-0000-000050020000}"/>
    <cellStyle name="60% - Accent3 2 12" xfId="594" xr:uid="{00000000-0005-0000-0000-000051020000}"/>
    <cellStyle name="60% - Accent3 2 13" xfId="595" xr:uid="{00000000-0005-0000-0000-000052020000}"/>
    <cellStyle name="60% - Accent3 2 14" xfId="596" xr:uid="{00000000-0005-0000-0000-000053020000}"/>
    <cellStyle name="60% - Accent3 2 15" xfId="597" xr:uid="{00000000-0005-0000-0000-000054020000}"/>
    <cellStyle name="60% - Accent3 2 16" xfId="598" xr:uid="{00000000-0005-0000-0000-000055020000}"/>
    <cellStyle name="60% - Accent3 2 17" xfId="599" xr:uid="{00000000-0005-0000-0000-000056020000}"/>
    <cellStyle name="60% - Accent3 2 18" xfId="600" xr:uid="{00000000-0005-0000-0000-000057020000}"/>
    <cellStyle name="60% - Accent3 2 19" xfId="601" xr:uid="{00000000-0005-0000-0000-000058020000}"/>
    <cellStyle name="60% - Accent3 2 2" xfId="602" xr:uid="{00000000-0005-0000-0000-000059020000}"/>
    <cellStyle name="60% - Accent3 2 20" xfId="603" xr:uid="{00000000-0005-0000-0000-00005A020000}"/>
    <cellStyle name="60% - Accent3 2 21" xfId="604" xr:uid="{00000000-0005-0000-0000-00005B020000}"/>
    <cellStyle name="60% - Accent3 2 22" xfId="605" xr:uid="{00000000-0005-0000-0000-00005C020000}"/>
    <cellStyle name="60% - Accent3 2 23" xfId="606" xr:uid="{00000000-0005-0000-0000-00005D020000}"/>
    <cellStyle name="60% - Accent3 2 24" xfId="607" xr:uid="{00000000-0005-0000-0000-00005E020000}"/>
    <cellStyle name="60% - Accent3 2 25" xfId="608" xr:uid="{00000000-0005-0000-0000-00005F020000}"/>
    <cellStyle name="60% - Accent3 2 26" xfId="609" xr:uid="{00000000-0005-0000-0000-000060020000}"/>
    <cellStyle name="60% - Accent3 2 27" xfId="610" xr:uid="{00000000-0005-0000-0000-000061020000}"/>
    <cellStyle name="60% - Accent3 2 28" xfId="611" xr:uid="{00000000-0005-0000-0000-000062020000}"/>
    <cellStyle name="60% - Accent3 2 29" xfId="612" xr:uid="{00000000-0005-0000-0000-000063020000}"/>
    <cellStyle name="60% - Accent3 2 3" xfId="613" xr:uid="{00000000-0005-0000-0000-000064020000}"/>
    <cellStyle name="60% - Accent3 2 30" xfId="614" xr:uid="{00000000-0005-0000-0000-000065020000}"/>
    <cellStyle name="60% - Accent3 2 31" xfId="615" xr:uid="{00000000-0005-0000-0000-000066020000}"/>
    <cellStyle name="60% - Accent3 2 32" xfId="616" xr:uid="{00000000-0005-0000-0000-000067020000}"/>
    <cellStyle name="60% - Accent3 2 33" xfId="617" xr:uid="{00000000-0005-0000-0000-000068020000}"/>
    <cellStyle name="60% - Accent3 2 34" xfId="618" xr:uid="{00000000-0005-0000-0000-000069020000}"/>
    <cellStyle name="60% - Accent3 2 35" xfId="619" xr:uid="{00000000-0005-0000-0000-00006A020000}"/>
    <cellStyle name="60% - Accent3 2 36" xfId="620" xr:uid="{00000000-0005-0000-0000-00006B020000}"/>
    <cellStyle name="60% - Accent3 2 37" xfId="621" xr:uid="{00000000-0005-0000-0000-00006C020000}"/>
    <cellStyle name="60% - Accent3 2 38" xfId="622" xr:uid="{00000000-0005-0000-0000-00006D020000}"/>
    <cellStyle name="60% - Accent3 2 39" xfId="623" xr:uid="{00000000-0005-0000-0000-00006E020000}"/>
    <cellStyle name="60% - Accent3 2 4" xfId="624" xr:uid="{00000000-0005-0000-0000-00006F020000}"/>
    <cellStyle name="60% - Accent3 2 40" xfId="625" xr:uid="{00000000-0005-0000-0000-000070020000}"/>
    <cellStyle name="60% - Accent3 2 41" xfId="626" xr:uid="{00000000-0005-0000-0000-000071020000}"/>
    <cellStyle name="60% - Accent3 2 42" xfId="627" xr:uid="{00000000-0005-0000-0000-000072020000}"/>
    <cellStyle name="60% - Accent3 2 43" xfId="628" xr:uid="{00000000-0005-0000-0000-000073020000}"/>
    <cellStyle name="60% - Accent3 2 44" xfId="629" xr:uid="{00000000-0005-0000-0000-000074020000}"/>
    <cellStyle name="60% - Accent3 2 45" xfId="630" xr:uid="{00000000-0005-0000-0000-000075020000}"/>
    <cellStyle name="60% - Accent3 2 46" xfId="631" xr:uid="{00000000-0005-0000-0000-000076020000}"/>
    <cellStyle name="60% - Accent3 2 47" xfId="632" xr:uid="{00000000-0005-0000-0000-000077020000}"/>
    <cellStyle name="60% - Accent3 2 48" xfId="633" xr:uid="{00000000-0005-0000-0000-000078020000}"/>
    <cellStyle name="60% - Accent3 2 49" xfId="634" xr:uid="{00000000-0005-0000-0000-000079020000}"/>
    <cellStyle name="60% - Accent3 2 5" xfId="635" xr:uid="{00000000-0005-0000-0000-00007A020000}"/>
    <cellStyle name="60% - Accent3 2 6" xfId="636" xr:uid="{00000000-0005-0000-0000-00007B020000}"/>
    <cellStyle name="60% - Accent3 2 7" xfId="637" xr:uid="{00000000-0005-0000-0000-00007C020000}"/>
    <cellStyle name="60% - Accent3 2 8" xfId="638" xr:uid="{00000000-0005-0000-0000-00007D020000}"/>
    <cellStyle name="60% - Accent3 2 9" xfId="639" xr:uid="{00000000-0005-0000-0000-00007E020000}"/>
    <cellStyle name="60% - Accent4 2" xfId="640" xr:uid="{00000000-0005-0000-0000-00007F020000}"/>
    <cellStyle name="60% - Accent4 2 10" xfId="641" xr:uid="{00000000-0005-0000-0000-000080020000}"/>
    <cellStyle name="60% - Accent4 2 11" xfId="642" xr:uid="{00000000-0005-0000-0000-000081020000}"/>
    <cellStyle name="60% - Accent4 2 12" xfId="643" xr:uid="{00000000-0005-0000-0000-000082020000}"/>
    <cellStyle name="60% - Accent4 2 13" xfId="644" xr:uid="{00000000-0005-0000-0000-000083020000}"/>
    <cellStyle name="60% - Accent4 2 14" xfId="645" xr:uid="{00000000-0005-0000-0000-000084020000}"/>
    <cellStyle name="60% - Accent4 2 15" xfId="646" xr:uid="{00000000-0005-0000-0000-000085020000}"/>
    <cellStyle name="60% - Accent4 2 16" xfId="647" xr:uid="{00000000-0005-0000-0000-000086020000}"/>
    <cellStyle name="60% - Accent4 2 17" xfId="648" xr:uid="{00000000-0005-0000-0000-000087020000}"/>
    <cellStyle name="60% - Accent4 2 18" xfId="649" xr:uid="{00000000-0005-0000-0000-000088020000}"/>
    <cellStyle name="60% - Accent4 2 19" xfId="650" xr:uid="{00000000-0005-0000-0000-000089020000}"/>
    <cellStyle name="60% - Accent4 2 2" xfId="651" xr:uid="{00000000-0005-0000-0000-00008A020000}"/>
    <cellStyle name="60% - Accent4 2 20" xfId="652" xr:uid="{00000000-0005-0000-0000-00008B020000}"/>
    <cellStyle name="60% - Accent4 2 21" xfId="653" xr:uid="{00000000-0005-0000-0000-00008C020000}"/>
    <cellStyle name="60% - Accent4 2 22" xfId="654" xr:uid="{00000000-0005-0000-0000-00008D020000}"/>
    <cellStyle name="60% - Accent4 2 23" xfId="655" xr:uid="{00000000-0005-0000-0000-00008E020000}"/>
    <cellStyle name="60% - Accent4 2 24" xfId="656" xr:uid="{00000000-0005-0000-0000-00008F020000}"/>
    <cellStyle name="60% - Accent4 2 25" xfId="657" xr:uid="{00000000-0005-0000-0000-000090020000}"/>
    <cellStyle name="60% - Accent4 2 26" xfId="658" xr:uid="{00000000-0005-0000-0000-000091020000}"/>
    <cellStyle name="60% - Accent4 2 27" xfId="659" xr:uid="{00000000-0005-0000-0000-000092020000}"/>
    <cellStyle name="60% - Accent4 2 28" xfId="660" xr:uid="{00000000-0005-0000-0000-000093020000}"/>
    <cellStyle name="60% - Accent4 2 29" xfId="661" xr:uid="{00000000-0005-0000-0000-000094020000}"/>
    <cellStyle name="60% - Accent4 2 3" xfId="662" xr:uid="{00000000-0005-0000-0000-000095020000}"/>
    <cellStyle name="60% - Accent4 2 30" xfId="663" xr:uid="{00000000-0005-0000-0000-000096020000}"/>
    <cellStyle name="60% - Accent4 2 31" xfId="664" xr:uid="{00000000-0005-0000-0000-000097020000}"/>
    <cellStyle name="60% - Accent4 2 32" xfId="665" xr:uid="{00000000-0005-0000-0000-000098020000}"/>
    <cellStyle name="60% - Accent4 2 33" xfId="666" xr:uid="{00000000-0005-0000-0000-000099020000}"/>
    <cellStyle name="60% - Accent4 2 34" xfId="667" xr:uid="{00000000-0005-0000-0000-00009A020000}"/>
    <cellStyle name="60% - Accent4 2 35" xfId="668" xr:uid="{00000000-0005-0000-0000-00009B020000}"/>
    <cellStyle name="60% - Accent4 2 36" xfId="669" xr:uid="{00000000-0005-0000-0000-00009C020000}"/>
    <cellStyle name="60% - Accent4 2 37" xfId="670" xr:uid="{00000000-0005-0000-0000-00009D020000}"/>
    <cellStyle name="60% - Accent4 2 38" xfId="671" xr:uid="{00000000-0005-0000-0000-00009E020000}"/>
    <cellStyle name="60% - Accent4 2 39" xfId="672" xr:uid="{00000000-0005-0000-0000-00009F020000}"/>
    <cellStyle name="60% - Accent4 2 4" xfId="673" xr:uid="{00000000-0005-0000-0000-0000A0020000}"/>
    <cellStyle name="60% - Accent4 2 40" xfId="674" xr:uid="{00000000-0005-0000-0000-0000A1020000}"/>
    <cellStyle name="60% - Accent4 2 41" xfId="675" xr:uid="{00000000-0005-0000-0000-0000A2020000}"/>
    <cellStyle name="60% - Accent4 2 42" xfId="676" xr:uid="{00000000-0005-0000-0000-0000A3020000}"/>
    <cellStyle name="60% - Accent4 2 43" xfId="677" xr:uid="{00000000-0005-0000-0000-0000A4020000}"/>
    <cellStyle name="60% - Accent4 2 44" xfId="678" xr:uid="{00000000-0005-0000-0000-0000A5020000}"/>
    <cellStyle name="60% - Accent4 2 45" xfId="679" xr:uid="{00000000-0005-0000-0000-0000A6020000}"/>
    <cellStyle name="60% - Accent4 2 46" xfId="680" xr:uid="{00000000-0005-0000-0000-0000A7020000}"/>
    <cellStyle name="60% - Accent4 2 47" xfId="681" xr:uid="{00000000-0005-0000-0000-0000A8020000}"/>
    <cellStyle name="60% - Accent4 2 48" xfId="682" xr:uid="{00000000-0005-0000-0000-0000A9020000}"/>
    <cellStyle name="60% - Accent4 2 49" xfId="683" xr:uid="{00000000-0005-0000-0000-0000AA020000}"/>
    <cellStyle name="60% - Accent4 2 5" xfId="684" xr:uid="{00000000-0005-0000-0000-0000AB020000}"/>
    <cellStyle name="60% - Accent4 2 6" xfId="685" xr:uid="{00000000-0005-0000-0000-0000AC020000}"/>
    <cellStyle name="60% - Accent4 2 7" xfId="686" xr:uid="{00000000-0005-0000-0000-0000AD020000}"/>
    <cellStyle name="60% - Accent4 2 8" xfId="687" xr:uid="{00000000-0005-0000-0000-0000AE020000}"/>
    <cellStyle name="60% - Accent4 2 9" xfId="688" xr:uid="{00000000-0005-0000-0000-0000AF020000}"/>
    <cellStyle name="60% - Accent5 2" xfId="689" xr:uid="{00000000-0005-0000-0000-0000B0020000}"/>
    <cellStyle name="60% - Accent5 2 10" xfId="690" xr:uid="{00000000-0005-0000-0000-0000B1020000}"/>
    <cellStyle name="60% - Accent5 2 11" xfId="691" xr:uid="{00000000-0005-0000-0000-0000B2020000}"/>
    <cellStyle name="60% - Accent5 2 12" xfId="692" xr:uid="{00000000-0005-0000-0000-0000B3020000}"/>
    <cellStyle name="60% - Accent5 2 13" xfId="693" xr:uid="{00000000-0005-0000-0000-0000B4020000}"/>
    <cellStyle name="60% - Accent5 2 14" xfId="694" xr:uid="{00000000-0005-0000-0000-0000B5020000}"/>
    <cellStyle name="60% - Accent5 2 15" xfId="695" xr:uid="{00000000-0005-0000-0000-0000B6020000}"/>
    <cellStyle name="60% - Accent5 2 16" xfId="696" xr:uid="{00000000-0005-0000-0000-0000B7020000}"/>
    <cellStyle name="60% - Accent5 2 17" xfId="697" xr:uid="{00000000-0005-0000-0000-0000B8020000}"/>
    <cellStyle name="60% - Accent5 2 18" xfId="698" xr:uid="{00000000-0005-0000-0000-0000B9020000}"/>
    <cellStyle name="60% - Accent5 2 19" xfId="699" xr:uid="{00000000-0005-0000-0000-0000BA020000}"/>
    <cellStyle name="60% - Accent5 2 2" xfId="700" xr:uid="{00000000-0005-0000-0000-0000BB020000}"/>
    <cellStyle name="60% - Accent5 2 20" xfId="701" xr:uid="{00000000-0005-0000-0000-0000BC020000}"/>
    <cellStyle name="60% - Accent5 2 21" xfId="702" xr:uid="{00000000-0005-0000-0000-0000BD020000}"/>
    <cellStyle name="60% - Accent5 2 22" xfId="703" xr:uid="{00000000-0005-0000-0000-0000BE020000}"/>
    <cellStyle name="60% - Accent5 2 23" xfId="704" xr:uid="{00000000-0005-0000-0000-0000BF020000}"/>
    <cellStyle name="60% - Accent5 2 24" xfId="705" xr:uid="{00000000-0005-0000-0000-0000C0020000}"/>
    <cellStyle name="60% - Accent5 2 25" xfId="706" xr:uid="{00000000-0005-0000-0000-0000C1020000}"/>
    <cellStyle name="60% - Accent5 2 26" xfId="707" xr:uid="{00000000-0005-0000-0000-0000C2020000}"/>
    <cellStyle name="60% - Accent5 2 27" xfId="708" xr:uid="{00000000-0005-0000-0000-0000C3020000}"/>
    <cellStyle name="60% - Accent5 2 28" xfId="709" xr:uid="{00000000-0005-0000-0000-0000C4020000}"/>
    <cellStyle name="60% - Accent5 2 29" xfId="710" xr:uid="{00000000-0005-0000-0000-0000C5020000}"/>
    <cellStyle name="60% - Accent5 2 3" xfId="711" xr:uid="{00000000-0005-0000-0000-0000C6020000}"/>
    <cellStyle name="60% - Accent5 2 30" xfId="712" xr:uid="{00000000-0005-0000-0000-0000C7020000}"/>
    <cellStyle name="60% - Accent5 2 31" xfId="713" xr:uid="{00000000-0005-0000-0000-0000C8020000}"/>
    <cellStyle name="60% - Accent5 2 32" xfId="714" xr:uid="{00000000-0005-0000-0000-0000C9020000}"/>
    <cellStyle name="60% - Accent5 2 33" xfId="715" xr:uid="{00000000-0005-0000-0000-0000CA020000}"/>
    <cellStyle name="60% - Accent5 2 34" xfId="716" xr:uid="{00000000-0005-0000-0000-0000CB020000}"/>
    <cellStyle name="60% - Accent5 2 35" xfId="717" xr:uid="{00000000-0005-0000-0000-0000CC020000}"/>
    <cellStyle name="60% - Accent5 2 36" xfId="718" xr:uid="{00000000-0005-0000-0000-0000CD020000}"/>
    <cellStyle name="60% - Accent5 2 37" xfId="719" xr:uid="{00000000-0005-0000-0000-0000CE020000}"/>
    <cellStyle name="60% - Accent5 2 38" xfId="720" xr:uid="{00000000-0005-0000-0000-0000CF020000}"/>
    <cellStyle name="60% - Accent5 2 39" xfId="721" xr:uid="{00000000-0005-0000-0000-0000D0020000}"/>
    <cellStyle name="60% - Accent5 2 4" xfId="722" xr:uid="{00000000-0005-0000-0000-0000D1020000}"/>
    <cellStyle name="60% - Accent5 2 40" xfId="723" xr:uid="{00000000-0005-0000-0000-0000D2020000}"/>
    <cellStyle name="60% - Accent5 2 41" xfId="724" xr:uid="{00000000-0005-0000-0000-0000D3020000}"/>
    <cellStyle name="60% - Accent5 2 42" xfId="725" xr:uid="{00000000-0005-0000-0000-0000D4020000}"/>
    <cellStyle name="60% - Accent5 2 43" xfId="726" xr:uid="{00000000-0005-0000-0000-0000D5020000}"/>
    <cellStyle name="60% - Accent5 2 44" xfId="727" xr:uid="{00000000-0005-0000-0000-0000D6020000}"/>
    <cellStyle name="60% - Accent5 2 45" xfId="728" xr:uid="{00000000-0005-0000-0000-0000D7020000}"/>
    <cellStyle name="60% - Accent5 2 46" xfId="729" xr:uid="{00000000-0005-0000-0000-0000D8020000}"/>
    <cellStyle name="60% - Accent5 2 47" xfId="730" xr:uid="{00000000-0005-0000-0000-0000D9020000}"/>
    <cellStyle name="60% - Accent5 2 48" xfId="731" xr:uid="{00000000-0005-0000-0000-0000DA020000}"/>
    <cellStyle name="60% - Accent5 2 49" xfId="732" xr:uid="{00000000-0005-0000-0000-0000DB020000}"/>
    <cellStyle name="60% - Accent5 2 5" xfId="733" xr:uid="{00000000-0005-0000-0000-0000DC020000}"/>
    <cellStyle name="60% - Accent5 2 6" xfId="734" xr:uid="{00000000-0005-0000-0000-0000DD020000}"/>
    <cellStyle name="60% - Accent5 2 7" xfId="735" xr:uid="{00000000-0005-0000-0000-0000DE020000}"/>
    <cellStyle name="60% - Accent5 2 8" xfId="736" xr:uid="{00000000-0005-0000-0000-0000DF020000}"/>
    <cellStyle name="60% - Accent5 2 9" xfId="737" xr:uid="{00000000-0005-0000-0000-0000E0020000}"/>
    <cellStyle name="60% - Accent6 2" xfId="738" xr:uid="{00000000-0005-0000-0000-0000E1020000}"/>
    <cellStyle name="60% - Accent6 2 10" xfId="739" xr:uid="{00000000-0005-0000-0000-0000E2020000}"/>
    <cellStyle name="60% - Accent6 2 11" xfId="740" xr:uid="{00000000-0005-0000-0000-0000E3020000}"/>
    <cellStyle name="60% - Accent6 2 12" xfId="741" xr:uid="{00000000-0005-0000-0000-0000E4020000}"/>
    <cellStyle name="60% - Accent6 2 13" xfId="742" xr:uid="{00000000-0005-0000-0000-0000E5020000}"/>
    <cellStyle name="60% - Accent6 2 14" xfId="743" xr:uid="{00000000-0005-0000-0000-0000E6020000}"/>
    <cellStyle name="60% - Accent6 2 15" xfId="744" xr:uid="{00000000-0005-0000-0000-0000E7020000}"/>
    <cellStyle name="60% - Accent6 2 16" xfId="745" xr:uid="{00000000-0005-0000-0000-0000E8020000}"/>
    <cellStyle name="60% - Accent6 2 17" xfId="746" xr:uid="{00000000-0005-0000-0000-0000E9020000}"/>
    <cellStyle name="60% - Accent6 2 18" xfId="747" xr:uid="{00000000-0005-0000-0000-0000EA020000}"/>
    <cellStyle name="60% - Accent6 2 19" xfId="748" xr:uid="{00000000-0005-0000-0000-0000EB020000}"/>
    <cellStyle name="60% - Accent6 2 2" xfId="749" xr:uid="{00000000-0005-0000-0000-0000EC020000}"/>
    <cellStyle name="60% - Accent6 2 20" xfId="750" xr:uid="{00000000-0005-0000-0000-0000ED020000}"/>
    <cellStyle name="60% - Accent6 2 21" xfId="751" xr:uid="{00000000-0005-0000-0000-0000EE020000}"/>
    <cellStyle name="60% - Accent6 2 22" xfId="752" xr:uid="{00000000-0005-0000-0000-0000EF020000}"/>
    <cellStyle name="60% - Accent6 2 23" xfId="753" xr:uid="{00000000-0005-0000-0000-0000F0020000}"/>
    <cellStyle name="60% - Accent6 2 24" xfId="754" xr:uid="{00000000-0005-0000-0000-0000F1020000}"/>
    <cellStyle name="60% - Accent6 2 25" xfId="755" xr:uid="{00000000-0005-0000-0000-0000F2020000}"/>
    <cellStyle name="60% - Accent6 2 26" xfId="756" xr:uid="{00000000-0005-0000-0000-0000F3020000}"/>
    <cellStyle name="60% - Accent6 2 27" xfId="757" xr:uid="{00000000-0005-0000-0000-0000F4020000}"/>
    <cellStyle name="60% - Accent6 2 28" xfId="758" xr:uid="{00000000-0005-0000-0000-0000F5020000}"/>
    <cellStyle name="60% - Accent6 2 29" xfId="759" xr:uid="{00000000-0005-0000-0000-0000F6020000}"/>
    <cellStyle name="60% - Accent6 2 3" xfId="760" xr:uid="{00000000-0005-0000-0000-0000F7020000}"/>
    <cellStyle name="60% - Accent6 2 30" xfId="761" xr:uid="{00000000-0005-0000-0000-0000F8020000}"/>
    <cellStyle name="60% - Accent6 2 31" xfId="762" xr:uid="{00000000-0005-0000-0000-0000F9020000}"/>
    <cellStyle name="60% - Accent6 2 32" xfId="763" xr:uid="{00000000-0005-0000-0000-0000FA020000}"/>
    <cellStyle name="60% - Accent6 2 33" xfId="764" xr:uid="{00000000-0005-0000-0000-0000FB020000}"/>
    <cellStyle name="60% - Accent6 2 34" xfId="765" xr:uid="{00000000-0005-0000-0000-0000FC020000}"/>
    <cellStyle name="60% - Accent6 2 35" xfId="766" xr:uid="{00000000-0005-0000-0000-0000FD020000}"/>
    <cellStyle name="60% - Accent6 2 36" xfId="767" xr:uid="{00000000-0005-0000-0000-0000FE020000}"/>
    <cellStyle name="60% - Accent6 2 37" xfId="768" xr:uid="{00000000-0005-0000-0000-0000FF020000}"/>
    <cellStyle name="60% - Accent6 2 38" xfId="769" xr:uid="{00000000-0005-0000-0000-000000030000}"/>
    <cellStyle name="60% - Accent6 2 39" xfId="770" xr:uid="{00000000-0005-0000-0000-000001030000}"/>
    <cellStyle name="60% - Accent6 2 4" xfId="771" xr:uid="{00000000-0005-0000-0000-000002030000}"/>
    <cellStyle name="60% - Accent6 2 40" xfId="772" xr:uid="{00000000-0005-0000-0000-000003030000}"/>
    <cellStyle name="60% - Accent6 2 41" xfId="773" xr:uid="{00000000-0005-0000-0000-000004030000}"/>
    <cellStyle name="60% - Accent6 2 42" xfId="774" xr:uid="{00000000-0005-0000-0000-000005030000}"/>
    <cellStyle name="60% - Accent6 2 43" xfId="775" xr:uid="{00000000-0005-0000-0000-000006030000}"/>
    <cellStyle name="60% - Accent6 2 44" xfId="776" xr:uid="{00000000-0005-0000-0000-000007030000}"/>
    <cellStyle name="60% - Accent6 2 45" xfId="777" xr:uid="{00000000-0005-0000-0000-000008030000}"/>
    <cellStyle name="60% - Accent6 2 46" xfId="778" xr:uid="{00000000-0005-0000-0000-000009030000}"/>
    <cellStyle name="60% - Accent6 2 47" xfId="779" xr:uid="{00000000-0005-0000-0000-00000A030000}"/>
    <cellStyle name="60% - Accent6 2 48" xfId="780" xr:uid="{00000000-0005-0000-0000-00000B030000}"/>
    <cellStyle name="60% - Accent6 2 49" xfId="781" xr:uid="{00000000-0005-0000-0000-00000C030000}"/>
    <cellStyle name="60% - Accent6 2 5" xfId="782" xr:uid="{00000000-0005-0000-0000-00000D030000}"/>
    <cellStyle name="60% - Accent6 2 6" xfId="783" xr:uid="{00000000-0005-0000-0000-00000E030000}"/>
    <cellStyle name="60% - Accent6 2 7" xfId="784" xr:uid="{00000000-0005-0000-0000-00000F030000}"/>
    <cellStyle name="60% - Accent6 2 8" xfId="785" xr:uid="{00000000-0005-0000-0000-000010030000}"/>
    <cellStyle name="60% - Accent6 2 9" xfId="786" xr:uid="{00000000-0005-0000-0000-000011030000}"/>
    <cellStyle name="Accent1 2" xfId="787" xr:uid="{00000000-0005-0000-0000-000012030000}"/>
    <cellStyle name="Accent1 2 10" xfId="788" xr:uid="{00000000-0005-0000-0000-000013030000}"/>
    <cellStyle name="Accent1 2 11" xfId="789" xr:uid="{00000000-0005-0000-0000-000014030000}"/>
    <cellStyle name="Accent1 2 12" xfId="790" xr:uid="{00000000-0005-0000-0000-000015030000}"/>
    <cellStyle name="Accent1 2 13" xfId="791" xr:uid="{00000000-0005-0000-0000-000016030000}"/>
    <cellStyle name="Accent1 2 14" xfId="792" xr:uid="{00000000-0005-0000-0000-000017030000}"/>
    <cellStyle name="Accent1 2 15" xfId="793" xr:uid="{00000000-0005-0000-0000-000018030000}"/>
    <cellStyle name="Accent1 2 16" xfId="794" xr:uid="{00000000-0005-0000-0000-000019030000}"/>
    <cellStyle name="Accent1 2 17" xfId="795" xr:uid="{00000000-0005-0000-0000-00001A030000}"/>
    <cellStyle name="Accent1 2 18" xfId="796" xr:uid="{00000000-0005-0000-0000-00001B030000}"/>
    <cellStyle name="Accent1 2 19" xfId="797" xr:uid="{00000000-0005-0000-0000-00001C030000}"/>
    <cellStyle name="Accent1 2 2" xfId="798" xr:uid="{00000000-0005-0000-0000-00001D030000}"/>
    <cellStyle name="Accent1 2 20" xfId="799" xr:uid="{00000000-0005-0000-0000-00001E030000}"/>
    <cellStyle name="Accent1 2 21" xfId="800" xr:uid="{00000000-0005-0000-0000-00001F030000}"/>
    <cellStyle name="Accent1 2 22" xfId="801" xr:uid="{00000000-0005-0000-0000-000020030000}"/>
    <cellStyle name="Accent1 2 23" xfId="802" xr:uid="{00000000-0005-0000-0000-000021030000}"/>
    <cellStyle name="Accent1 2 24" xfId="803" xr:uid="{00000000-0005-0000-0000-000022030000}"/>
    <cellStyle name="Accent1 2 25" xfId="804" xr:uid="{00000000-0005-0000-0000-000023030000}"/>
    <cellStyle name="Accent1 2 26" xfId="805" xr:uid="{00000000-0005-0000-0000-000024030000}"/>
    <cellStyle name="Accent1 2 27" xfId="806" xr:uid="{00000000-0005-0000-0000-000025030000}"/>
    <cellStyle name="Accent1 2 28" xfId="807" xr:uid="{00000000-0005-0000-0000-000026030000}"/>
    <cellStyle name="Accent1 2 29" xfId="808" xr:uid="{00000000-0005-0000-0000-000027030000}"/>
    <cellStyle name="Accent1 2 3" xfId="809" xr:uid="{00000000-0005-0000-0000-000028030000}"/>
    <cellStyle name="Accent1 2 30" xfId="810" xr:uid="{00000000-0005-0000-0000-000029030000}"/>
    <cellStyle name="Accent1 2 31" xfId="811" xr:uid="{00000000-0005-0000-0000-00002A030000}"/>
    <cellStyle name="Accent1 2 32" xfId="812" xr:uid="{00000000-0005-0000-0000-00002B030000}"/>
    <cellStyle name="Accent1 2 33" xfId="813" xr:uid="{00000000-0005-0000-0000-00002C030000}"/>
    <cellStyle name="Accent1 2 34" xfId="814" xr:uid="{00000000-0005-0000-0000-00002D030000}"/>
    <cellStyle name="Accent1 2 35" xfId="815" xr:uid="{00000000-0005-0000-0000-00002E030000}"/>
    <cellStyle name="Accent1 2 36" xfId="816" xr:uid="{00000000-0005-0000-0000-00002F030000}"/>
    <cellStyle name="Accent1 2 37" xfId="817" xr:uid="{00000000-0005-0000-0000-000030030000}"/>
    <cellStyle name="Accent1 2 38" xfId="818" xr:uid="{00000000-0005-0000-0000-000031030000}"/>
    <cellStyle name="Accent1 2 39" xfId="819" xr:uid="{00000000-0005-0000-0000-000032030000}"/>
    <cellStyle name="Accent1 2 4" xfId="820" xr:uid="{00000000-0005-0000-0000-000033030000}"/>
    <cellStyle name="Accent1 2 40" xfId="821" xr:uid="{00000000-0005-0000-0000-000034030000}"/>
    <cellStyle name="Accent1 2 41" xfId="822" xr:uid="{00000000-0005-0000-0000-000035030000}"/>
    <cellStyle name="Accent1 2 42" xfId="823" xr:uid="{00000000-0005-0000-0000-000036030000}"/>
    <cellStyle name="Accent1 2 43" xfId="824" xr:uid="{00000000-0005-0000-0000-000037030000}"/>
    <cellStyle name="Accent1 2 44" xfId="825" xr:uid="{00000000-0005-0000-0000-000038030000}"/>
    <cellStyle name="Accent1 2 45" xfId="826" xr:uid="{00000000-0005-0000-0000-000039030000}"/>
    <cellStyle name="Accent1 2 46" xfId="827" xr:uid="{00000000-0005-0000-0000-00003A030000}"/>
    <cellStyle name="Accent1 2 47" xfId="828" xr:uid="{00000000-0005-0000-0000-00003B030000}"/>
    <cellStyle name="Accent1 2 48" xfId="829" xr:uid="{00000000-0005-0000-0000-00003C030000}"/>
    <cellStyle name="Accent1 2 49" xfId="830" xr:uid="{00000000-0005-0000-0000-00003D030000}"/>
    <cellStyle name="Accent1 2 5" xfId="831" xr:uid="{00000000-0005-0000-0000-00003E030000}"/>
    <cellStyle name="Accent1 2 6" xfId="832" xr:uid="{00000000-0005-0000-0000-00003F030000}"/>
    <cellStyle name="Accent1 2 7" xfId="833" xr:uid="{00000000-0005-0000-0000-000040030000}"/>
    <cellStyle name="Accent1 2 8" xfId="834" xr:uid="{00000000-0005-0000-0000-000041030000}"/>
    <cellStyle name="Accent1 2 9" xfId="835" xr:uid="{00000000-0005-0000-0000-000042030000}"/>
    <cellStyle name="Accent2 2" xfId="836" xr:uid="{00000000-0005-0000-0000-000043030000}"/>
    <cellStyle name="Accent2 2 10" xfId="837" xr:uid="{00000000-0005-0000-0000-000044030000}"/>
    <cellStyle name="Accent2 2 11" xfId="838" xr:uid="{00000000-0005-0000-0000-000045030000}"/>
    <cellStyle name="Accent2 2 12" xfId="839" xr:uid="{00000000-0005-0000-0000-000046030000}"/>
    <cellStyle name="Accent2 2 13" xfId="840" xr:uid="{00000000-0005-0000-0000-000047030000}"/>
    <cellStyle name="Accent2 2 14" xfId="841" xr:uid="{00000000-0005-0000-0000-000048030000}"/>
    <cellStyle name="Accent2 2 15" xfId="842" xr:uid="{00000000-0005-0000-0000-000049030000}"/>
    <cellStyle name="Accent2 2 16" xfId="843" xr:uid="{00000000-0005-0000-0000-00004A030000}"/>
    <cellStyle name="Accent2 2 17" xfId="844" xr:uid="{00000000-0005-0000-0000-00004B030000}"/>
    <cellStyle name="Accent2 2 18" xfId="845" xr:uid="{00000000-0005-0000-0000-00004C030000}"/>
    <cellStyle name="Accent2 2 19" xfId="846" xr:uid="{00000000-0005-0000-0000-00004D030000}"/>
    <cellStyle name="Accent2 2 2" xfId="847" xr:uid="{00000000-0005-0000-0000-00004E030000}"/>
    <cellStyle name="Accent2 2 20" xfId="848" xr:uid="{00000000-0005-0000-0000-00004F030000}"/>
    <cellStyle name="Accent2 2 21" xfId="849" xr:uid="{00000000-0005-0000-0000-000050030000}"/>
    <cellStyle name="Accent2 2 22" xfId="850" xr:uid="{00000000-0005-0000-0000-000051030000}"/>
    <cellStyle name="Accent2 2 23" xfId="851" xr:uid="{00000000-0005-0000-0000-000052030000}"/>
    <cellStyle name="Accent2 2 24" xfId="852" xr:uid="{00000000-0005-0000-0000-000053030000}"/>
    <cellStyle name="Accent2 2 25" xfId="853" xr:uid="{00000000-0005-0000-0000-000054030000}"/>
    <cellStyle name="Accent2 2 26" xfId="854" xr:uid="{00000000-0005-0000-0000-000055030000}"/>
    <cellStyle name="Accent2 2 27" xfId="855" xr:uid="{00000000-0005-0000-0000-000056030000}"/>
    <cellStyle name="Accent2 2 28" xfId="856" xr:uid="{00000000-0005-0000-0000-000057030000}"/>
    <cellStyle name="Accent2 2 29" xfId="857" xr:uid="{00000000-0005-0000-0000-000058030000}"/>
    <cellStyle name="Accent2 2 3" xfId="858" xr:uid="{00000000-0005-0000-0000-000059030000}"/>
    <cellStyle name="Accent2 2 30" xfId="859" xr:uid="{00000000-0005-0000-0000-00005A030000}"/>
    <cellStyle name="Accent2 2 31" xfId="860" xr:uid="{00000000-0005-0000-0000-00005B030000}"/>
    <cellStyle name="Accent2 2 32" xfId="861" xr:uid="{00000000-0005-0000-0000-00005C030000}"/>
    <cellStyle name="Accent2 2 33" xfId="862" xr:uid="{00000000-0005-0000-0000-00005D030000}"/>
    <cellStyle name="Accent2 2 34" xfId="863" xr:uid="{00000000-0005-0000-0000-00005E030000}"/>
    <cellStyle name="Accent2 2 35" xfId="864" xr:uid="{00000000-0005-0000-0000-00005F030000}"/>
    <cellStyle name="Accent2 2 36" xfId="865" xr:uid="{00000000-0005-0000-0000-000060030000}"/>
    <cellStyle name="Accent2 2 37" xfId="866" xr:uid="{00000000-0005-0000-0000-000061030000}"/>
    <cellStyle name="Accent2 2 38" xfId="867" xr:uid="{00000000-0005-0000-0000-000062030000}"/>
    <cellStyle name="Accent2 2 39" xfId="868" xr:uid="{00000000-0005-0000-0000-000063030000}"/>
    <cellStyle name="Accent2 2 4" xfId="869" xr:uid="{00000000-0005-0000-0000-000064030000}"/>
    <cellStyle name="Accent2 2 40" xfId="870" xr:uid="{00000000-0005-0000-0000-000065030000}"/>
    <cellStyle name="Accent2 2 41" xfId="871" xr:uid="{00000000-0005-0000-0000-000066030000}"/>
    <cellStyle name="Accent2 2 42" xfId="872" xr:uid="{00000000-0005-0000-0000-000067030000}"/>
    <cellStyle name="Accent2 2 43" xfId="873" xr:uid="{00000000-0005-0000-0000-000068030000}"/>
    <cellStyle name="Accent2 2 44" xfId="874" xr:uid="{00000000-0005-0000-0000-000069030000}"/>
    <cellStyle name="Accent2 2 45" xfId="875" xr:uid="{00000000-0005-0000-0000-00006A030000}"/>
    <cellStyle name="Accent2 2 46" xfId="876" xr:uid="{00000000-0005-0000-0000-00006B030000}"/>
    <cellStyle name="Accent2 2 47" xfId="877" xr:uid="{00000000-0005-0000-0000-00006C030000}"/>
    <cellStyle name="Accent2 2 48" xfId="878" xr:uid="{00000000-0005-0000-0000-00006D030000}"/>
    <cellStyle name="Accent2 2 49" xfId="879" xr:uid="{00000000-0005-0000-0000-00006E030000}"/>
    <cellStyle name="Accent2 2 5" xfId="880" xr:uid="{00000000-0005-0000-0000-00006F030000}"/>
    <cellStyle name="Accent2 2 6" xfId="881" xr:uid="{00000000-0005-0000-0000-000070030000}"/>
    <cellStyle name="Accent2 2 7" xfId="882" xr:uid="{00000000-0005-0000-0000-000071030000}"/>
    <cellStyle name="Accent2 2 8" xfId="883" xr:uid="{00000000-0005-0000-0000-000072030000}"/>
    <cellStyle name="Accent2 2 9" xfId="884" xr:uid="{00000000-0005-0000-0000-000073030000}"/>
    <cellStyle name="Accent3 2" xfId="885" xr:uid="{00000000-0005-0000-0000-000074030000}"/>
    <cellStyle name="Accent3 2 10" xfId="886" xr:uid="{00000000-0005-0000-0000-000075030000}"/>
    <cellStyle name="Accent3 2 11" xfId="887" xr:uid="{00000000-0005-0000-0000-000076030000}"/>
    <cellStyle name="Accent3 2 12" xfId="888" xr:uid="{00000000-0005-0000-0000-000077030000}"/>
    <cellStyle name="Accent3 2 13" xfId="889" xr:uid="{00000000-0005-0000-0000-000078030000}"/>
    <cellStyle name="Accent3 2 14" xfId="890" xr:uid="{00000000-0005-0000-0000-000079030000}"/>
    <cellStyle name="Accent3 2 15" xfId="891" xr:uid="{00000000-0005-0000-0000-00007A030000}"/>
    <cellStyle name="Accent3 2 16" xfId="892" xr:uid="{00000000-0005-0000-0000-00007B030000}"/>
    <cellStyle name="Accent3 2 17" xfId="893" xr:uid="{00000000-0005-0000-0000-00007C030000}"/>
    <cellStyle name="Accent3 2 18" xfId="894" xr:uid="{00000000-0005-0000-0000-00007D030000}"/>
    <cellStyle name="Accent3 2 19" xfId="895" xr:uid="{00000000-0005-0000-0000-00007E030000}"/>
    <cellStyle name="Accent3 2 2" xfId="896" xr:uid="{00000000-0005-0000-0000-00007F030000}"/>
    <cellStyle name="Accent3 2 20" xfId="897" xr:uid="{00000000-0005-0000-0000-000080030000}"/>
    <cellStyle name="Accent3 2 21" xfId="898" xr:uid="{00000000-0005-0000-0000-000081030000}"/>
    <cellStyle name="Accent3 2 22" xfId="899" xr:uid="{00000000-0005-0000-0000-000082030000}"/>
    <cellStyle name="Accent3 2 23" xfId="900" xr:uid="{00000000-0005-0000-0000-000083030000}"/>
    <cellStyle name="Accent3 2 24" xfId="901" xr:uid="{00000000-0005-0000-0000-000084030000}"/>
    <cellStyle name="Accent3 2 25" xfId="902" xr:uid="{00000000-0005-0000-0000-000085030000}"/>
    <cellStyle name="Accent3 2 26" xfId="903" xr:uid="{00000000-0005-0000-0000-000086030000}"/>
    <cellStyle name="Accent3 2 27" xfId="904" xr:uid="{00000000-0005-0000-0000-000087030000}"/>
    <cellStyle name="Accent3 2 28" xfId="905" xr:uid="{00000000-0005-0000-0000-000088030000}"/>
    <cellStyle name="Accent3 2 29" xfId="906" xr:uid="{00000000-0005-0000-0000-000089030000}"/>
    <cellStyle name="Accent3 2 3" xfId="907" xr:uid="{00000000-0005-0000-0000-00008A030000}"/>
    <cellStyle name="Accent3 2 30" xfId="908" xr:uid="{00000000-0005-0000-0000-00008B030000}"/>
    <cellStyle name="Accent3 2 31" xfId="909" xr:uid="{00000000-0005-0000-0000-00008C030000}"/>
    <cellStyle name="Accent3 2 32" xfId="910" xr:uid="{00000000-0005-0000-0000-00008D030000}"/>
    <cellStyle name="Accent3 2 33" xfId="911" xr:uid="{00000000-0005-0000-0000-00008E030000}"/>
    <cellStyle name="Accent3 2 34" xfId="912" xr:uid="{00000000-0005-0000-0000-00008F030000}"/>
    <cellStyle name="Accent3 2 35" xfId="913" xr:uid="{00000000-0005-0000-0000-000090030000}"/>
    <cellStyle name="Accent3 2 36" xfId="914" xr:uid="{00000000-0005-0000-0000-000091030000}"/>
    <cellStyle name="Accent3 2 37" xfId="915" xr:uid="{00000000-0005-0000-0000-000092030000}"/>
    <cellStyle name="Accent3 2 38" xfId="916" xr:uid="{00000000-0005-0000-0000-000093030000}"/>
    <cellStyle name="Accent3 2 39" xfId="917" xr:uid="{00000000-0005-0000-0000-000094030000}"/>
    <cellStyle name="Accent3 2 4" xfId="918" xr:uid="{00000000-0005-0000-0000-000095030000}"/>
    <cellStyle name="Accent3 2 40" xfId="919" xr:uid="{00000000-0005-0000-0000-000096030000}"/>
    <cellStyle name="Accent3 2 41" xfId="920" xr:uid="{00000000-0005-0000-0000-000097030000}"/>
    <cellStyle name="Accent3 2 42" xfId="921" xr:uid="{00000000-0005-0000-0000-000098030000}"/>
    <cellStyle name="Accent3 2 43" xfId="922" xr:uid="{00000000-0005-0000-0000-000099030000}"/>
    <cellStyle name="Accent3 2 44" xfId="923" xr:uid="{00000000-0005-0000-0000-00009A030000}"/>
    <cellStyle name="Accent3 2 45" xfId="924" xr:uid="{00000000-0005-0000-0000-00009B030000}"/>
    <cellStyle name="Accent3 2 46" xfId="925" xr:uid="{00000000-0005-0000-0000-00009C030000}"/>
    <cellStyle name="Accent3 2 47" xfId="926" xr:uid="{00000000-0005-0000-0000-00009D030000}"/>
    <cellStyle name="Accent3 2 48" xfId="927" xr:uid="{00000000-0005-0000-0000-00009E030000}"/>
    <cellStyle name="Accent3 2 49" xfId="928" xr:uid="{00000000-0005-0000-0000-00009F030000}"/>
    <cellStyle name="Accent3 2 5" xfId="929" xr:uid="{00000000-0005-0000-0000-0000A0030000}"/>
    <cellStyle name="Accent3 2 6" xfId="930" xr:uid="{00000000-0005-0000-0000-0000A1030000}"/>
    <cellStyle name="Accent3 2 7" xfId="931" xr:uid="{00000000-0005-0000-0000-0000A2030000}"/>
    <cellStyle name="Accent3 2 8" xfId="932" xr:uid="{00000000-0005-0000-0000-0000A3030000}"/>
    <cellStyle name="Accent3 2 9" xfId="933" xr:uid="{00000000-0005-0000-0000-0000A4030000}"/>
    <cellStyle name="Accent4 2" xfId="934" xr:uid="{00000000-0005-0000-0000-0000A5030000}"/>
    <cellStyle name="Accent4 2 10" xfId="935" xr:uid="{00000000-0005-0000-0000-0000A6030000}"/>
    <cellStyle name="Accent4 2 11" xfId="936" xr:uid="{00000000-0005-0000-0000-0000A7030000}"/>
    <cellStyle name="Accent4 2 12" xfId="937" xr:uid="{00000000-0005-0000-0000-0000A8030000}"/>
    <cellStyle name="Accent4 2 13" xfId="938" xr:uid="{00000000-0005-0000-0000-0000A9030000}"/>
    <cellStyle name="Accent4 2 14" xfId="939" xr:uid="{00000000-0005-0000-0000-0000AA030000}"/>
    <cellStyle name="Accent4 2 15" xfId="940" xr:uid="{00000000-0005-0000-0000-0000AB030000}"/>
    <cellStyle name="Accent4 2 16" xfId="941" xr:uid="{00000000-0005-0000-0000-0000AC030000}"/>
    <cellStyle name="Accent4 2 17" xfId="942" xr:uid="{00000000-0005-0000-0000-0000AD030000}"/>
    <cellStyle name="Accent4 2 18" xfId="943" xr:uid="{00000000-0005-0000-0000-0000AE030000}"/>
    <cellStyle name="Accent4 2 19" xfId="944" xr:uid="{00000000-0005-0000-0000-0000AF030000}"/>
    <cellStyle name="Accent4 2 2" xfId="945" xr:uid="{00000000-0005-0000-0000-0000B0030000}"/>
    <cellStyle name="Accent4 2 20" xfId="946" xr:uid="{00000000-0005-0000-0000-0000B1030000}"/>
    <cellStyle name="Accent4 2 21" xfId="947" xr:uid="{00000000-0005-0000-0000-0000B2030000}"/>
    <cellStyle name="Accent4 2 22" xfId="948" xr:uid="{00000000-0005-0000-0000-0000B3030000}"/>
    <cellStyle name="Accent4 2 23" xfId="949" xr:uid="{00000000-0005-0000-0000-0000B4030000}"/>
    <cellStyle name="Accent4 2 24" xfId="950" xr:uid="{00000000-0005-0000-0000-0000B5030000}"/>
    <cellStyle name="Accent4 2 25" xfId="951" xr:uid="{00000000-0005-0000-0000-0000B6030000}"/>
    <cellStyle name="Accent4 2 26" xfId="952" xr:uid="{00000000-0005-0000-0000-0000B7030000}"/>
    <cellStyle name="Accent4 2 27" xfId="953" xr:uid="{00000000-0005-0000-0000-0000B8030000}"/>
    <cellStyle name="Accent4 2 28" xfId="954" xr:uid="{00000000-0005-0000-0000-0000B9030000}"/>
    <cellStyle name="Accent4 2 29" xfId="955" xr:uid="{00000000-0005-0000-0000-0000BA030000}"/>
    <cellStyle name="Accent4 2 3" xfId="956" xr:uid="{00000000-0005-0000-0000-0000BB030000}"/>
    <cellStyle name="Accent4 2 30" xfId="957" xr:uid="{00000000-0005-0000-0000-0000BC030000}"/>
    <cellStyle name="Accent4 2 31" xfId="958" xr:uid="{00000000-0005-0000-0000-0000BD030000}"/>
    <cellStyle name="Accent4 2 32" xfId="959" xr:uid="{00000000-0005-0000-0000-0000BE030000}"/>
    <cellStyle name="Accent4 2 33" xfId="960" xr:uid="{00000000-0005-0000-0000-0000BF030000}"/>
    <cellStyle name="Accent4 2 34" xfId="961" xr:uid="{00000000-0005-0000-0000-0000C0030000}"/>
    <cellStyle name="Accent4 2 35" xfId="962" xr:uid="{00000000-0005-0000-0000-0000C1030000}"/>
    <cellStyle name="Accent4 2 36" xfId="963" xr:uid="{00000000-0005-0000-0000-0000C2030000}"/>
    <cellStyle name="Accent4 2 37" xfId="964" xr:uid="{00000000-0005-0000-0000-0000C3030000}"/>
    <cellStyle name="Accent4 2 38" xfId="965" xr:uid="{00000000-0005-0000-0000-0000C4030000}"/>
    <cellStyle name="Accent4 2 39" xfId="966" xr:uid="{00000000-0005-0000-0000-0000C5030000}"/>
    <cellStyle name="Accent4 2 4" xfId="967" xr:uid="{00000000-0005-0000-0000-0000C6030000}"/>
    <cellStyle name="Accent4 2 40" xfId="968" xr:uid="{00000000-0005-0000-0000-0000C7030000}"/>
    <cellStyle name="Accent4 2 41" xfId="969" xr:uid="{00000000-0005-0000-0000-0000C8030000}"/>
    <cellStyle name="Accent4 2 42" xfId="970" xr:uid="{00000000-0005-0000-0000-0000C9030000}"/>
    <cellStyle name="Accent4 2 43" xfId="971" xr:uid="{00000000-0005-0000-0000-0000CA030000}"/>
    <cellStyle name="Accent4 2 44" xfId="972" xr:uid="{00000000-0005-0000-0000-0000CB030000}"/>
    <cellStyle name="Accent4 2 45" xfId="973" xr:uid="{00000000-0005-0000-0000-0000CC030000}"/>
    <cellStyle name="Accent4 2 46" xfId="974" xr:uid="{00000000-0005-0000-0000-0000CD030000}"/>
    <cellStyle name="Accent4 2 47" xfId="975" xr:uid="{00000000-0005-0000-0000-0000CE030000}"/>
    <cellStyle name="Accent4 2 48" xfId="976" xr:uid="{00000000-0005-0000-0000-0000CF030000}"/>
    <cellStyle name="Accent4 2 49" xfId="977" xr:uid="{00000000-0005-0000-0000-0000D0030000}"/>
    <cellStyle name="Accent4 2 5" xfId="978" xr:uid="{00000000-0005-0000-0000-0000D1030000}"/>
    <cellStyle name="Accent4 2 6" xfId="979" xr:uid="{00000000-0005-0000-0000-0000D2030000}"/>
    <cellStyle name="Accent4 2 7" xfId="980" xr:uid="{00000000-0005-0000-0000-0000D3030000}"/>
    <cellStyle name="Accent4 2 8" xfId="981" xr:uid="{00000000-0005-0000-0000-0000D4030000}"/>
    <cellStyle name="Accent4 2 9" xfId="982" xr:uid="{00000000-0005-0000-0000-0000D5030000}"/>
    <cellStyle name="Accent5" xfId="983" builtinId="45" customBuiltin="1"/>
    <cellStyle name="Accent6 2" xfId="984" xr:uid="{00000000-0005-0000-0000-0000D7030000}"/>
    <cellStyle name="Accent6 2 10" xfId="985" xr:uid="{00000000-0005-0000-0000-0000D8030000}"/>
    <cellStyle name="Accent6 2 11" xfId="986" xr:uid="{00000000-0005-0000-0000-0000D9030000}"/>
    <cellStyle name="Accent6 2 12" xfId="987" xr:uid="{00000000-0005-0000-0000-0000DA030000}"/>
    <cellStyle name="Accent6 2 13" xfId="988" xr:uid="{00000000-0005-0000-0000-0000DB030000}"/>
    <cellStyle name="Accent6 2 14" xfId="989" xr:uid="{00000000-0005-0000-0000-0000DC030000}"/>
    <cellStyle name="Accent6 2 15" xfId="990" xr:uid="{00000000-0005-0000-0000-0000DD030000}"/>
    <cellStyle name="Accent6 2 16" xfId="991" xr:uid="{00000000-0005-0000-0000-0000DE030000}"/>
    <cellStyle name="Accent6 2 17" xfId="992" xr:uid="{00000000-0005-0000-0000-0000DF030000}"/>
    <cellStyle name="Accent6 2 18" xfId="993" xr:uid="{00000000-0005-0000-0000-0000E0030000}"/>
    <cellStyle name="Accent6 2 19" xfId="994" xr:uid="{00000000-0005-0000-0000-0000E1030000}"/>
    <cellStyle name="Accent6 2 2" xfId="995" xr:uid="{00000000-0005-0000-0000-0000E2030000}"/>
    <cellStyle name="Accent6 2 20" xfId="996" xr:uid="{00000000-0005-0000-0000-0000E3030000}"/>
    <cellStyle name="Accent6 2 21" xfId="997" xr:uid="{00000000-0005-0000-0000-0000E4030000}"/>
    <cellStyle name="Accent6 2 22" xfId="998" xr:uid="{00000000-0005-0000-0000-0000E5030000}"/>
    <cellStyle name="Accent6 2 23" xfId="999" xr:uid="{00000000-0005-0000-0000-0000E6030000}"/>
    <cellStyle name="Accent6 2 24" xfId="1000" xr:uid="{00000000-0005-0000-0000-0000E7030000}"/>
    <cellStyle name="Accent6 2 25" xfId="1001" xr:uid="{00000000-0005-0000-0000-0000E8030000}"/>
    <cellStyle name="Accent6 2 26" xfId="1002" xr:uid="{00000000-0005-0000-0000-0000E9030000}"/>
    <cellStyle name="Accent6 2 27" xfId="1003" xr:uid="{00000000-0005-0000-0000-0000EA030000}"/>
    <cellStyle name="Accent6 2 28" xfId="1004" xr:uid="{00000000-0005-0000-0000-0000EB030000}"/>
    <cellStyle name="Accent6 2 29" xfId="1005" xr:uid="{00000000-0005-0000-0000-0000EC030000}"/>
    <cellStyle name="Accent6 2 3" xfId="1006" xr:uid="{00000000-0005-0000-0000-0000ED030000}"/>
    <cellStyle name="Accent6 2 30" xfId="1007" xr:uid="{00000000-0005-0000-0000-0000EE030000}"/>
    <cellStyle name="Accent6 2 31" xfId="1008" xr:uid="{00000000-0005-0000-0000-0000EF030000}"/>
    <cellStyle name="Accent6 2 32" xfId="1009" xr:uid="{00000000-0005-0000-0000-0000F0030000}"/>
    <cellStyle name="Accent6 2 33" xfId="1010" xr:uid="{00000000-0005-0000-0000-0000F1030000}"/>
    <cellStyle name="Accent6 2 34" xfId="1011" xr:uid="{00000000-0005-0000-0000-0000F2030000}"/>
    <cellStyle name="Accent6 2 35" xfId="1012" xr:uid="{00000000-0005-0000-0000-0000F3030000}"/>
    <cellStyle name="Accent6 2 36" xfId="1013" xr:uid="{00000000-0005-0000-0000-0000F4030000}"/>
    <cellStyle name="Accent6 2 37" xfId="1014" xr:uid="{00000000-0005-0000-0000-0000F5030000}"/>
    <cellStyle name="Accent6 2 38" xfId="1015" xr:uid="{00000000-0005-0000-0000-0000F6030000}"/>
    <cellStyle name="Accent6 2 39" xfId="1016" xr:uid="{00000000-0005-0000-0000-0000F7030000}"/>
    <cellStyle name="Accent6 2 4" xfId="1017" xr:uid="{00000000-0005-0000-0000-0000F8030000}"/>
    <cellStyle name="Accent6 2 40" xfId="1018" xr:uid="{00000000-0005-0000-0000-0000F9030000}"/>
    <cellStyle name="Accent6 2 41" xfId="1019" xr:uid="{00000000-0005-0000-0000-0000FA030000}"/>
    <cellStyle name="Accent6 2 42" xfId="1020" xr:uid="{00000000-0005-0000-0000-0000FB030000}"/>
    <cellStyle name="Accent6 2 43" xfId="1021" xr:uid="{00000000-0005-0000-0000-0000FC030000}"/>
    <cellStyle name="Accent6 2 44" xfId="1022" xr:uid="{00000000-0005-0000-0000-0000FD030000}"/>
    <cellStyle name="Accent6 2 45" xfId="1023" xr:uid="{00000000-0005-0000-0000-0000FE030000}"/>
    <cellStyle name="Accent6 2 46" xfId="1024" xr:uid="{00000000-0005-0000-0000-0000FF030000}"/>
    <cellStyle name="Accent6 2 47" xfId="1025" xr:uid="{00000000-0005-0000-0000-000000040000}"/>
    <cellStyle name="Accent6 2 48" xfId="1026" xr:uid="{00000000-0005-0000-0000-000001040000}"/>
    <cellStyle name="Accent6 2 49" xfId="1027" xr:uid="{00000000-0005-0000-0000-000002040000}"/>
    <cellStyle name="Accent6 2 5" xfId="1028" xr:uid="{00000000-0005-0000-0000-000003040000}"/>
    <cellStyle name="Accent6 2 6" xfId="1029" xr:uid="{00000000-0005-0000-0000-000004040000}"/>
    <cellStyle name="Accent6 2 7" xfId="1030" xr:uid="{00000000-0005-0000-0000-000005040000}"/>
    <cellStyle name="Accent6 2 8" xfId="1031" xr:uid="{00000000-0005-0000-0000-000006040000}"/>
    <cellStyle name="Accent6 2 9" xfId="1032" xr:uid="{00000000-0005-0000-0000-000007040000}"/>
    <cellStyle name="Bad 2" xfId="1033" xr:uid="{00000000-0005-0000-0000-000008040000}"/>
    <cellStyle name="Bad 2 10" xfId="1034" xr:uid="{00000000-0005-0000-0000-000009040000}"/>
    <cellStyle name="Bad 2 11" xfId="1035" xr:uid="{00000000-0005-0000-0000-00000A040000}"/>
    <cellStyle name="Bad 2 12" xfId="1036" xr:uid="{00000000-0005-0000-0000-00000B040000}"/>
    <cellStyle name="Bad 2 13" xfId="1037" xr:uid="{00000000-0005-0000-0000-00000C040000}"/>
    <cellStyle name="Bad 2 14" xfId="1038" xr:uid="{00000000-0005-0000-0000-00000D040000}"/>
    <cellStyle name="Bad 2 15" xfId="1039" xr:uid="{00000000-0005-0000-0000-00000E040000}"/>
    <cellStyle name="Bad 2 16" xfId="1040" xr:uid="{00000000-0005-0000-0000-00000F040000}"/>
    <cellStyle name="Bad 2 17" xfId="1041" xr:uid="{00000000-0005-0000-0000-000010040000}"/>
    <cellStyle name="Bad 2 18" xfId="1042" xr:uid="{00000000-0005-0000-0000-000011040000}"/>
    <cellStyle name="Bad 2 19" xfId="1043" xr:uid="{00000000-0005-0000-0000-000012040000}"/>
    <cellStyle name="Bad 2 2" xfId="1044" xr:uid="{00000000-0005-0000-0000-000013040000}"/>
    <cellStyle name="Bad 2 20" xfId="1045" xr:uid="{00000000-0005-0000-0000-000014040000}"/>
    <cellStyle name="Bad 2 21" xfId="1046" xr:uid="{00000000-0005-0000-0000-000015040000}"/>
    <cellStyle name="Bad 2 22" xfId="1047" xr:uid="{00000000-0005-0000-0000-000016040000}"/>
    <cellStyle name="Bad 2 23" xfId="1048" xr:uid="{00000000-0005-0000-0000-000017040000}"/>
    <cellStyle name="Bad 2 24" xfId="1049" xr:uid="{00000000-0005-0000-0000-000018040000}"/>
    <cellStyle name="Bad 2 25" xfId="1050" xr:uid="{00000000-0005-0000-0000-000019040000}"/>
    <cellStyle name="Bad 2 26" xfId="1051" xr:uid="{00000000-0005-0000-0000-00001A040000}"/>
    <cellStyle name="Bad 2 27" xfId="1052" xr:uid="{00000000-0005-0000-0000-00001B040000}"/>
    <cellStyle name="Bad 2 28" xfId="1053" xr:uid="{00000000-0005-0000-0000-00001C040000}"/>
    <cellStyle name="Bad 2 29" xfId="1054" xr:uid="{00000000-0005-0000-0000-00001D040000}"/>
    <cellStyle name="Bad 2 3" xfId="1055" xr:uid="{00000000-0005-0000-0000-00001E040000}"/>
    <cellStyle name="Bad 2 30" xfId="1056" xr:uid="{00000000-0005-0000-0000-00001F040000}"/>
    <cellStyle name="Bad 2 31" xfId="1057" xr:uid="{00000000-0005-0000-0000-000020040000}"/>
    <cellStyle name="Bad 2 32" xfId="1058" xr:uid="{00000000-0005-0000-0000-000021040000}"/>
    <cellStyle name="Bad 2 33" xfId="1059" xr:uid="{00000000-0005-0000-0000-000022040000}"/>
    <cellStyle name="Bad 2 34" xfId="1060" xr:uid="{00000000-0005-0000-0000-000023040000}"/>
    <cellStyle name="Bad 2 35" xfId="1061" xr:uid="{00000000-0005-0000-0000-000024040000}"/>
    <cellStyle name="Bad 2 36" xfId="1062" xr:uid="{00000000-0005-0000-0000-000025040000}"/>
    <cellStyle name="Bad 2 37" xfId="1063" xr:uid="{00000000-0005-0000-0000-000026040000}"/>
    <cellStyle name="Bad 2 38" xfId="1064" xr:uid="{00000000-0005-0000-0000-000027040000}"/>
    <cellStyle name="Bad 2 39" xfId="1065" xr:uid="{00000000-0005-0000-0000-000028040000}"/>
    <cellStyle name="Bad 2 4" xfId="1066" xr:uid="{00000000-0005-0000-0000-000029040000}"/>
    <cellStyle name="Bad 2 40" xfId="1067" xr:uid="{00000000-0005-0000-0000-00002A040000}"/>
    <cellStyle name="Bad 2 41" xfId="1068" xr:uid="{00000000-0005-0000-0000-00002B040000}"/>
    <cellStyle name="Bad 2 42" xfId="1069" xr:uid="{00000000-0005-0000-0000-00002C040000}"/>
    <cellStyle name="Bad 2 43" xfId="1070" xr:uid="{00000000-0005-0000-0000-00002D040000}"/>
    <cellStyle name="Bad 2 44" xfId="1071" xr:uid="{00000000-0005-0000-0000-00002E040000}"/>
    <cellStyle name="Bad 2 45" xfId="1072" xr:uid="{00000000-0005-0000-0000-00002F040000}"/>
    <cellStyle name="Bad 2 46" xfId="1073" xr:uid="{00000000-0005-0000-0000-000030040000}"/>
    <cellStyle name="Bad 2 47" xfId="1074" xr:uid="{00000000-0005-0000-0000-000031040000}"/>
    <cellStyle name="Bad 2 48" xfId="1075" xr:uid="{00000000-0005-0000-0000-000032040000}"/>
    <cellStyle name="Bad 2 49" xfId="1076" xr:uid="{00000000-0005-0000-0000-000033040000}"/>
    <cellStyle name="Bad 2 5" xfId="1077" xr:uid="{00000000-0005-0000-0000-000034040000}"/>
    <cellStyle name="Bad 2 6" xfId="1078" xr:uid="{00000000-0005-0000-0000-000035040000}"/>
    <cellStyle name="Bad 2 7" xfId="1079" xr:uid="{00000000-0005-0000-0000-000036040000}"/>
    <cellStyle name="Bad 2 8" xfId="1080" xr:uid="{00000000-0005-0000-0000-000037040000}"/>
    <cellStyle name="Bad 2 9" xfId="1081" xr:uid="{00000000-0005-0000-0000-000038040000}"/>
    <cellStyle name="Calculation 2" xfId="1082" xr:uid="{00000000-0005-0000-0000-000039040000}"/>
    <cellStyle name="Calculation 2 10" xfId="1083" xr:uid="{00000000-0005-0000-0000-00003A040000}"/>
    <cellStyle name="Calculation 2 11" xfId="1084" xr:uid="{00000000-0005-0000-0000-00003B040000}"/>
    <cellStyle name="Calculation 2 12" xfId="1085" xr:uid="{00000000-0005-0000-0000-00003C040000}"/>
    <cellStyle name="Calculation 2 13" xfId="1086" xr:uid="{00000000-0005-0000-0000-00003D040000}"/>
    <cellStyle name="Calculation 2 14" xfId="1087" xr:uid="{00000000-0005-0000-0000-00003E040000}"/>
    <cellStyle name="Calculation 2 15" xfId="1088" xr:uid="{00000000-0005-0000-0000-00003F040000}"/>
    <cellStyle name="Calculation 2 16" xfId="1089" xr:uid="{00000000-0005-0000-0000-000040040000}"/>
    <cellStyle name="Calculation 2 17" xfId="1090" xr:uid="{00000000-0005-0000-0000-000041040000}"/>
    <cellStyle name="Calculation 2 18" xfId="1091" xr:uid="{00000000-0005-0000-0000-000042040000}"/>
    <cellStyle name="Calculation 2 19" xfId="1092" xr:uid="{00000000-0005-0000-0000-000043040000}"/>
    <cellStyle name="Calculation 2 2" xfId="1093" xr:uid="{00000000-0005-0000-0000-000044040000}"/>
    <cellStyle name="Calculation 2 20" xfId="1094" xr:uid="{00000000-0005-0000-0000-000045040000}"/>
    <cellStyle name="Calculation 2 21" xfId="1095" xr:uid="{00000000-0005-0000-0000-000046040000}"/>
    <cellStyle name="Calculation 2 22" xfId="1096" xr:uid="{00000000-0005-0000-0000-000047040000}"/>
    <cellStyle name="Calculation 2 23" xfId="1097" xr:uid="{00000000-0005-0000-0000-000048040000}"/>
    <cellStyle name="Calculation 2 24" xfId="1098" xr:uid="{00000000-0005-0000-0000-000049040000}"/>
    <cellStyle name="Calculation 2 25" xfId="1099" xr:uid="{00000000-0005-0000-0000-00004A040000}"/>
    <cellStyle name="Calculation 2 26" xfId="1100" xr:uid="{00000000-0005-0000-0000-00004B040000}"/>
    <cellStyle name="Calculation 2 27" xfId="1101" xr:uid="{00000000-0005-0000-0000-00004C040000}"/>
    <cellStyle name="Calculation 2 28" xfId="1102" xr:uid="{00000000-0005-0000-0000-00004D040000}"/>
    <cellStyle name="Calculation 2 29" xfId="1103" xr:uid="{00000000-0005-0000-0000-00004E040000}"/>
    <cellStyle name="Calculation 2 3" xfId="1104" xr:uid="{00000000-0005-0000-0000-00004F040000}"/>
    <cellStyle name="Calculation 2 30" xfId="1105" xr:uid="{00000000-0005-0000-0000-000050040000}"/>
    <cellStyle name="Calculation 2 31" xfId="1106" xr:uid="{00000000-0005-0000-0000-000051040000}"/>
    <cellStyle name="Calculation 2 32" xfId="1107" xr:uid="{00000000-0005-0000-0000-000052040000}"/>
    <cellStyle name="Calculation 2 33" xfId="1108" xr:uid="{00000000-0005-0000-0000-000053040000}"/>
    <cellStyle name="Calculation 2 34" xfId="1109" xr:uid="{00000000-0005-0000-0000-000054040000}"/>
    <cellStyle name="Calculation 2 35" xfId="1110" xr:uid="{00000000-0005-0000-0000-000055040000}"/>
    <cellStyle name="Calculation 2 36" xfId="1111" xr:uid="{00000000-0005-0000-0000-000056040000}"/>
    <cellStyle name="Calculation 2 37" xfId="1112" xr:uid="{00000000-0005-0000-0000-000057040000}"/>
    <cellStyle name="Calculation 2 38" xfId="1113" xr:uid="{00000000-0005-0000-0000-000058040000}"/>
    <cellStyle name="Calculation 2 39" xfId="1114" xr:uid="{00000000-0005-0000-0000-000059040000}"/>
    <cellStyle name="Calculation 2 4" xfId="1115" xr:uid="{00000000-0005-0000-0000-00005A040000}"/>
    <cellStyle name="Calculation 2 40" xfId="1116" xr:uid="{00000000-0005-0000-0000-00005B040000}"/>
    <cellStyle name="Calculation 2 41" xfId="1117" xr:uid="{00000000-0005-0000-0000-00005C040000}"/>
    <cellStyle name="Calculation 2 42" xfId="1118" xr:uid="{00000000-0005-0000-0000-00005D040000}"/>
    <cellStyle name="Calculation 2 43" xfId="1119" xr:uid="{00000000-0005-0000-0000-00005E040000}"/>
    <cellStyle name="Calculation 2 44" xfId="1120" xr:uid="{00000000-0005-0000-0000-00005F040000}"/>
    <cellStyle name="Calculation 2 45" xfId="1121" xr:uid="{00000000-0005-0000-0000-000060040000}"/>
    <cellStyle name="Calculation 2 46" xfId="1122" xr:uid="{00000000-0005-0000-0000-000061040000}"/>
    <cellStyle name="Calculation 2 47" xfId="1123" xr:uid="{00000000-0005-0000-0000-000062040000}"/>
    <cellStyle name="Calculation 2 48" xfId="1124" xr:uid="{00000000-0005-0000-0000-000063040000}"/>
    <cellStyle name="Calculation 2 49" xfId="1125" xr:uid="{00000000-0005-0000-0000-000064040000}"/>
    <cellStyle name="Calculation 2 5" xfId="1126" xr:uid="{00000000-0005-0000-0000-000065040000}"/>
    <cellStyle name="Calculation 2 6" xfId="1127" xr:uid="{00000000-0005-0000-0000-000066040000}"/>
    <cellStyle name="Calculation 2 7" xfId="1128" xr:uid="{00000000-0005-0000-0000-000067040000}"/>
    <cellStyle name="Calculation 2 8" xfId="1129" xr:uid="{00000000-0005-0000-0000-000068040000}"/>
    <cellStyle name="Calculation 2 9" xfId="1130" xr:uid="{00000000-0005-0000-0000-000069040000}"/>
    <cellStyle name="Check Cell" xfId="1131" builtinId="23" customBuiltin="1"/>
    <cellStyle name="Explanatory Text" xfId="1132" builtinId="53" customBuiltin="1"/>
    <cellStyle name="Good 2" xfId="1133" xr:uid="{00000000-0005-0000-0000-00006C040000}"/>
    <cellStyle name="Good 2 10" xfId="1134" xr:uid="{00000000-0005-0000-0000-00006D040000}"/>
    <cellStyle name="Good 2 11" xfId="1135" xr:uid="{00000000-0005-0000-0000-00006E040000}"/>
    <cellStyle name="Good 2 12" xfId="1136" xr:uid="{00000000-0005-0000-0000-00006F040000}"/>
    <cellStyle name="Good 2 13" xfId="1137" xr:uid="{00000000-0005-0000-0000-000070040000}"/>
    <cellStyle name="Good 2 14" xfId="1138" xr:uid="{00000000-0005-0000-0000-000071040000}"/>
    <cellStyle name="Good 2 15" xfId="1139" xr:uid="{00000000-0005-0000-0000-000072040000}"/>
    <cellStyle name="Good 2 16" xfId="1140" xr:uid="{00000000-0005-0000-0000-000073040000}"/>
    <cellStyle name="Good 2 17" xfId="1141" xr:uid="{00000000-0005-0000-0000-000074040000}"/>
    <cellStyle name="Good 2 18" xfId="1142" xr:uid="{00000000-0005-0000-0000-000075040000}"/>
    <cellStyle name="Good 2 19" xfId="1143" xr:uid="{00000000-0005-0000-0000-000076040000}"/>
    <cellStyle name="Good 2 2" xfId="1144" xr:uid="{00000000-0005-0000-0000-000077040000}"/>
    <cellStyle name="Good 2 20" xfId="1145" xr:uid="{00000000-0005-0000-0000-000078040000}"/>
    <cellStyle name="Good 2 21" xfId="1146" xr:uid="{00000000-0005-0000-0000-000079040000}"/>
    <cellStyle name="Good 2 22" xfId="1147" xr:uid="{00000000-0005-0000-0000-00007A040000}"/>
    <cellStyle name="Good 2 23" xfId="1148" xr:uid="{00000000-0005-0000-0000-00007B040000}"/>
    <cellStyle name="Good 2 24" xfId="1149" xr:uid="{00000000-0005-0000-0000-00007C040000}"/>
    <cellStyle name="Good 2 25" xfId="1150" xr:uid="{00000000-0005-0000-0000-00007D040000}"/>
    <cellStyle name="Good 2 26" xfId="1151" xr:uid="{00000000-0005-0000-0000-00007E040000}"/>
    <cellStyle name="Good 2 27" xfId="1152" xr:uid="{00000000-0005-0000-0000-00007F040000}"/>
    <cellStyle name="Good 2 28" xfId="1153" xr:uid="{00000000-0005-0000-0000-000080040000}"/>
    <cellStyle name="Good 2 29" xfId="1154" xr:uid="{00000000-0005-0000-0000-000081040000}"/>
    <cellStyle name="Good 2 3" xfId="1155" xr:uid="{00000000-0005-0000-0000-000082040000}"/>
    <cellStyle name="Good 2 30" xfId="1156" xr:uid="{00000000-0005-0000-0000-000083040000}"/>
    <cellStyle name="Good 2 31" xfId="1157" xr:uid="{00000000-0005-0000-0000-000084040000}"/>
    <cellStyle name="Good 2 32" xfId="1158" xr:uid="{00000000-0005-0000-0000-000085040000}"/>
    <cellStyle name="Good 2 33" xfId="1159" xr:uid="{00000000-0005-0000-0000-000086040000}"/>
    <cellStyle name="Good 2 34" xfId="1160" xr:uid="{00000000-0005-0000-0000-000087040000}"/>
    <cellStyle name="Good 2 35" xfId="1161" xr:uid="{00000000-0005-0000-0000-000088040000}"/>
    <cellStyle name="Good 2 36" xfId="1162" xr:uid="{00000000-0005-0000-0000-000089040000}"/>
    <cellStyle name="Good 2 37" xfId="1163" xr:uid="{00000000-0005-0000-0000-00008A040000}"/>
    <cellStyle name="Good 2 38" xfId="1164" xr:uid="{00000000-0005-0000-0000-00008B040000}"/>
    <cellStyle name="Good 2 39" xfId="1165" xr:uid="{00000000-0005-0000-0000-00008C040000}"/>
    <cellStyle name="Good 2 4" xfId="1166" xr:uid="{00000000-0005-0000-0000-00008D040000}"/>
    <cellStyle name="Good 2 40" xfId="1167" xr:uid="{00000000-0005-0000-0000-00008E040000}"/>
    <cellStyle name="Good 2 41" xfId="1168" xr:uid="{00000000-0005-0000-0000-00008F040000}"/>
    <cellStyle name="Good 2 42" xfId="1169" xr:uid="{00000000-0005-0000-0000-000090040000}"/>
    <cellStyle name="Good 2 43" xfId="1170" xr:uid="{00000000-0005-0000-0000-000091040000}"/>
    <cellStyle name="Good 2 44" xfId="1171" xr:uid="{00000000-0005-0000-0000-000092040000}"/>
    <cellStyle name="Good 2 45" xfId="1172" xr:uid="{00000000-0005-0000-0000-000093040000}"/>
    <cellStyle name="Good 2 46" xfId="1173" xr:uid="{00000000-0005-0000-0000-000094040000}"/>
    <cellStyle name="Good 2 47" xfId="1174" xr:uid="{00000000-0005-0000-0000-000095040000}"/>
    <cellStyle name="Good 2 48" xfId="1175" xr:uid="{00000000-0005-0000-0000-000096040000}"/>
    <cellStyle name="Good 2 49" xfId="1176" xr:uid="{00000000-0005-0000-0000-000097040000}"/>
    <cellStyle name="Good 2 5" xfId="1177" xr:uid="{00000000-0005-0000-0000-000098040000}"/>
    <cellStyle name="Good 2 6" xfId="1178" xr:uid="{00000000-0005-0000-0000-000099040000}"/>
    <cellStyle name="Good 2 7" xfId="1179" xr:uid="{00000000-0005-0000-0000-00009A040000}"/>
    <cellStyle name="Good 2 8" xfId="1180" xr:uid="{00000000-0005-0000-0000-00009B040000}"/>
    <cellStyle name="Good 2 9" xfId="1181" xr:uid="{00000000-0005-0000-0000-00009C040000}"/>
    <cellStyle name="Heading 1 2" xfId="1182" xr:uid="{00000000-0005-0000-0000-00009D040000}"/>
    <cellStyle name="Heading 1 2 10" xfId="1183" xr:uid="{00000000-0005-0000-0000-00009E040000}"/>
    <cellStyle name="Heading 1 2 11" xfId="1184" xr:uid="{00000000-0005-0000-0000-00009F040000}"/>
    <cellStyle name="Heading 1 2 12" xfId="1185" xr:uid="{00000000-0005-0000-0000-0000A0040000}"/>
    <cellStyle name="Heading 1 2 13" xfId="1186" xr:uid="{00000000-0005-0000-0000-0000A1040000}"/>
    <cellStyle name="Heading 1 2 14" xfId="1187" xr:uid="{00000000-0005-0000-0000-0000A2040000}"/>
    <cellStyle name="Heading 1 2 15" xfId="1188" xr:uid="{00000000-0005-0000-0000-0000A3040000}"/>
    <cellStyle name="Heading 1 2 16" xfId="1189" xr:uid="{00000000-0005-0000-0000-0000A4040000}"/>
    <cellStyle name="Heading 1 2 17" xfId="1190" xr:uid="{00000000-0005-0000-0000-0000A5040000}"/>
    <cellStyle name="Heading 1 2 18" xfId="1191" xr:uid="{00000000-0005-0000-0000-0000A6040000}"/>
    <cellStyle name="Heading 1 2 19" xfId="1192" xr:uid="{00000000-0005-0000-0000-0000A7040000}"/>
    <cellStyle name="Heading 1 2 2" xfId="1193" xr:uid="{00000000-0005-0000-0000-0000A8040000}"/>
    <cellStyle name="Heading 1 2 20" xfId="1194" xr:uid="{00000000-0005-0000-0000-0000A9040000}"/>
    <cellStyle name="Heading 1 2 21" xfId="1195" xr:uid="{00000000-0005-0000-0000-0000AA040000}"/>
    <cellStyle name="Heading 1 2 22" xfId="1196" xr:uid="{00000000-0005-0000-0000-0000AB040000}"/>
    <cellStyle name="Heading 1 2 23" xfId="1197" xr:uid="{00000000-0005-0000-0000-0000AC040000}"/>
    <cellStyle name="Heading 1 2 24" xfId="1198" xr:uid="{00000000-0005-0000-0000-0000AD040000}"/>
    <cellStyle name="Heading 1 2 25" xfId="1199" xr:uid="{00000000-0005-0000-0000-0000AE040000}"/>
    <cellStyle name="Heading 1 2 26" xfId="1200" xr:uid="{00000000-0005-0000-0000-0000AF040000}"/>
    <cellStyle name="Heading 1 2 27" xfId="1201" xr:uid="{00000000-0005-0000-0000-0000B0040000}"/>
    <cellStyle name="Heading 1 2 28" xfId="1202" xr:uid="{00000000-0005-0000-0000-0000B1040000}"/>
    <cellStyle name="Heading 1 2 29" xfId="1203" xr:uid="{00000000-0005-0000-0000-0000B2040000}"/>
    <cellStyle name="Heading 1 2 3" xfId="1204" xr:uid="{00000000-0005-0000-0000-0000B3040000}"/>
    <cellStyle name="Heading 1 2 30" xfId="1205" xr:uid="{00000000-0005-0000-0000-0000B4040000}"/>
    <cellStyle name="Heading 1 2 31" xfId="1206" xr:uid="{00000000-0005-0000-0000-0000B5040000}"/>
    <cellStyle name="Heading 1 2 32" xfId="1207" xr:uid="{00000000-0005-0000-0000-0000B6040000}"/>
    <cellStyle name="Heading 1 2 33" xfId="1208" xr:uid="{00000000-0005-0000-0000-0000B7040000}"/>
    <cellStyle name="Heading 1 2 34" xfId="1209" xr:uid="{00000000-0005-0000-0000-0000B8040000}"/>
    <cellStyle name="Heading 1 2 35" xfId="1210" xr:uid="{00000000-0005-0000-0000-0000B9040000}"/>
    <cellStyle name="Heading 1 2 36" xfId="1211" xr:uid="{00000000-0005-0000-0000-0000BA040000}"/>
    <cellStyle name="Heading 1 2 37" xfId="1212" xr:uid="{00000000-0005-0000-0000-0000BB040000}"/>
    <cellStyle name="Heading 1 2 38" xfId="1213" xr:uid="{00000000-0005-0000-0000-0000BC040000}"/>
    <cellStyle name="Heading 1 2 39" xfId="1214" xr:uid="{00000000-0005-0000-0000-0000BD040000}"/>
    <cellStyle name="Heading 1 2 4" xfId="1215" xr:uid="{00000000-0005-0000-0000-0000BE040000}"/>
    <cellStyle name="Heading 1 2 40" xfId="1216" xr:uid="{00000000-0005-0000-0000-0000BF040000}"/>
    <cellStyle name="Heading 1 2 41" xfId="1217" xr:uid="{00000000-0005-0000-0000-0000C0040000}"/>
    <cellStyle name="Heading 1 2 42" xfId="1218" xr:uid="{00000000-0005-0000-0000-0000C1040000}"/>
    <cellStyle name="Heading 1 2 43" xfId="1219" xr:uid="{00000000-0005-0000-0000-0000C2040000}"/>
    <cellStyle name="Heading 1 2 44" xfId="1220" xr:uid="{00000000-0005-0000-0000-0000C3040000}"/>
    <cellStyle name="Heading 1 2 45" xfId="1221" xr:uid="{00000000-0005-0000-0000-0000C4040000}"/>
    <cellStyle name="Heading 1 2 46" xfId="1222" xr:uid="{00000000-0005-0000-0000-0000C5040000}"/>
    <cellStyle name="Heading 1 2 47" xfId="1223" xr:uid="{00000000-0005-0000-0000-0000C6040000}"/>
    <cellStyle name="Heading 1 2 48" xfId="1224" xr:uid="{00000000-0005-0000-0000-0000C7040000}"/>
    <cellStyle name="Heading 1 2 49" xfId="1225" xr:uid="{00000000-0005-0000-0000-0000C8040000}"/>
    <cellStyle name="Heading 1 2 49 2" xfId="1226" xr:uid="{00000000-0005-0000-0000-0000C9040000}"/>
    <cellStyle name="Heading 1 2 5" xfId="1227" xr:uid="{00000000-0005-0000-0000-0000CA040000}"/>
    <cellStyle name="Heading 1 2 50" xfId="1228" xr:uid="{00000000-0005-0000-0000-0000CB040000}"/>
    <cellStyle name="Heading 1 2 50 2" xfId="1229" xr:uid="{00000000-0005-0000-0000-0000CC040000}"/>
    <cellStyle name="Heading 1 2 6" xfId="1230" xr:uid="{00000000-0005-0000-0000-0000CD040000}"/>
    <cellStyle name="Heading 1 2 7" xfId="1231" xr:uid="{00000000-0005-0000-0000-0000CE040000}"/>
    <cellStyle name="Heading 1 2 8" xfId="1232" xr:uid="{00000000-0005-0000-0000-0000CF040000}"/>
    <cellStyle name="Heading 1 2 9" xfId="1233" xr:uid="{00000000-0005-0000-0000-0000D0040000}"/>
    <cellStyle name="Heading 2 2" xfId="1234" xr:uid="{00000000-0005-0000-0000-0000D1040000}"/>
    <cellStyle name="Heading 2 2 10" xfId="1235" xr:uid="{00000000-0005-0000-0000-0000D2040000}"/>
    <cellStyle name="Heading 2 2 11" xfId="1236" xr:uid="{00000000-0005-0000-0000-0000D3040000}"/>
    <cellStyle name="Heading 2 2 12" xfId="1237" xr:uid="{00000000-0005-0000-0000-0000D4040000}"/>
    <cellStyle name="Heading 2 2 13" xfId="1238" xr:uid="{00000000-0005-0000-0000-0000D5040000}"/>
    <cellStyle name="Heading 2 2 14" xfId="1239" xr:uid="{00000000-0005-0000-0000-0000D6040000}"/>
    <cellStyle name="Heading 2 2 15" xfId="1240" xr:uid="{00000000-0005-0000-0000-0000D7040000}"/>
    <cellStyle name="Heading 2 2 16" xfId="1241" xr:uid="{00000000-0005-0000-0000-0000D8040000}"/>
    <cellStyle name="Heading 2 2 17" xfId="1242" xr:uid="{00000000-0005-0000-0000-0000D9040000}"/>
    <cellStyle name="Heading 2 2 18" xfId="1243" xr:uid="{00000000-0005-0000-0000-0000DA040000}"/>
    <cellStyle name="Heading 2 2 19" xfId="1244" xr:uid="{00000000-0005-0000-0000-0000DB040000}"/>
    <cellStyle name="Heading 2 2 2" xfId="1245" xr:uid="{00000000-0005-0000-0000-0000DC040000}"/>
    <cellStyle name="Heading 2 2 20" xfId="1246" xr:uid="{00000000-0005-0000-0000-0000DD040000}"/>
    <cellStyle name="Heading 2 2 21" xfId="1247" xr:uid="{00000000-0005-0000-0000-0000DE040000}"/>
    <cellStyle name="Heading 2 2 22" xfId="1248" xr:uid="{00000000-0005-0000-0000-0000DF040000}"/>
    <cellStyle name="Heading 2 2 23" xfId="1249" xr:uid="{00000000-0005-0000-0000-0000E0040000}"/>
    <cellStyle name="Heading 2 2 24" xfId="1250" xr:uid="{00000000-0005-0000-0000-0000E1040000}"/>
    <cellStyle name="Heading 2 2 25" xfId="1251" xr:uid="{00000000-0005-0000-0000-0000E2040000}"/>
    <cellStyle name="Heading 2 2 26" xfId="1252" xr:uid="{00000000-0005-0000-0000-0000E3040000}"/>
    <cellStyle name="Heading 2 2 27" xfId="1253" xr:uid="{00000000-0005-0000-0000-0000E4040000}"/>
    <cellStyle name="Heading 2 2 28" xfId="1254" xr:uid="{00000000-0005-0000-0000-0000E5040000}"/>
    <cellStyle name="Heading 2 2 29" xfId="1255" xr:uid="{00000000-0005-0000-0000-0000E6040000}"/>
    <cellStyle name="Heading 2 2 3" xfId="1256" xr:uid="{00000000-0005-0000-0000-0000E7040000}"/>
    <cellStyle name="Heading 2 2 30" xfId="1257" xr:uid="{00000000-0005-0000-0000-0000E8040000}"/>
    <cellStyle name="Heading 2 2 31" xfId="1258" xr:uid="{00000000-0005-0000-0000-0000E9040000}"/>
    <cellStyle name="Heading 2 2 32" xfId="1259" xr:uid="{00000000-0005-0000-0000-0000EA040000}"/>
    <cellStyle name="Heading 2 2 33" xfId="1260" xr:uid="{00000000-0005-0000-0000-0000EB040000}"/>
    <cellStyle name="Heading 2 2 34" xfId="1261" xr:uid="{00000000-0005-0000-0000-0000EC040000}"/>
    <cellStyle name="Heading 2 2 35" xfId="1262" xr:uid="{00000000-0005-0000-0000-0000ED040000}"/>
    <cellStyle name="Heading 2 2 36" xfId="1263" xr:uid="{00000000-0005-0000-0000-0000EE040000}"/>
    <cellStyle name="Heading 2 2 37" xfId="1264" xr:uid="{00000000-0005-0000-0000-0000EF040000}"/>
    <cellStyle name="Heading 2 2 38" xfId="1265" xr:uid="{00000000-0005-0000-0000-0000F0040000}"/>
    <cellStyle name="Heading 2 2 39" xfId="1266" xr:uid="{00000000-0005-0000-0000-0000F1040000}"/>
    <cellStyle name="Heading 2 2 4" xfId="1267" xr:uid="{00000000-0005-0000-0000-0000F2040000}"/>
    <cellStyle name="Heading 2 2 40" xfId="1268" xr:uid="{00000000-0005-0000-0000-0000F3040000}"/>
    <cellStyle name="Heading 2 2 41" xfId="1269" xr:uid="{00000000-0005-0000-0000-0000F4040000}"/>
    <cellStyle name="Heading 2 2 42" xfId="1270" xr:uid="{00000000-0005-0000-0000-0000F5040000}"/>
    <cellStyle name="Heading 2 2 43" xfId="1271" xr:uid="{00000000-0005-0000-0000-0000F6040000}"/>
    <cellStyle name="Heading 2 2 44" xfId="1272" xr:uid="{00000000-0005-0000-0000-0000F7040000}"/>
    <cellStyle name="Heading 2 2 45" xfId="1273" xr:uid="{00000000-0005-0000-0000-0000F8040000}"/>
    <cellStyle name="Heading 2 2 46" xfId="1274" xr:uid="{00000000-0005-0000-0000-0000F9040000}"/>
    <cellStyle name="Heading 2 2 47" xfId="1275" xr:uid="{00000000-0005-0000-0000-0000FA040000}"/>
    <cellStyle name="Heading 2 2 48" xfId="1276" xr:uid="{00000000-0005-0000-0000-0000FB040000}"/>
    <cellStyle name="Heading 2 2 49" xfId="1277" xr:uid="{00000000-0005-0000-0000-0000FC040000}"/>
    <cellStyle name="Heading 2 2 49 2" xfId="1278" xr:uid="{00000000-0005-0000-0000-0000FD040000}"/>
    <cellStyle name="Heading 2 2 5" xfId="1279" xr:uid="{00000000-0005-0000-0000-0000FE040000}"/>
    <cellStyle name="Heading 2 2 50" xfId="1280" xr:uid="{00000000-0005-0000-0000-0000FF040000}"/>
    <cellStyle name="Heading 2 2 50 2" xfId="1281" xr:uid="{00000000-0005-0000-0000-000000050000}"/>
    <cellStyle name="Heading 2 2 6" xfId="1282" xr:uid="{00000000-0005-0000-0000-000001050000}"/>
    <cellStyle name="Heading 2 2 7" xfId="1283" xr:uid="{00000000-0005-0000-0000-000002050000}"/>
    <cellStyle name="Heading 2 2 8" xfId="1284" xr:uid="{00000000-0005-0000-0000-000003050000}"/>
    <cellStyle name="Heading 2 2 9" xfId="1285" xr:uid="{00000000-0005-0000-0000-000004050000}"/>
    <cellStyle name="Heading 3 2" xfId="1286" xr:uid="{00000000-0005-0000-0000-000005050000}"/>
    <cellStyle name="Heading 3 2 10" xfId="1287" xr:uid="{00000000-0005-0000-0000-000006050000}"/>
    <cellStyle name="Heading 3 2 11" xfId="1288" xr:uid="{00000000-0005-0000-0000-000007050000}"/>
    <cellStyle name="Heading 3 2 12" xfId="1289" xr:uid="{00000000-0005-0000-0000-000008050000}"/>
    <cellStyle name="Heading 3 2 13" xfId="1290" xr:uid="{00000000-0005-0000-0000-000009050000}"/>
    <cellStyle name="Heading 3 2 14" xfId="1291" xr:uid="{00000000-0005-0000-0000-00000A050000}"/>
    <cellStyle name="Heading 3 2 15" xfId="1292" xr:uid="{00000000-0005-0000-0000-00000B050000}"/>
    <cellStyle name="Heading 3 2 16" xfId="1293" xr:uid="{00000000-0005-0000-0000-00000C050000}"/>
    <cellStyle name="Heading 3 2 17" xfId="1294" xr:uid="{00000000-0005-0000-0000-00000D050000}"/>
    <cellStyle name="Heading 3 2 18" xfId="1295" xr:uid="{00000000-0005-0000-0000-00000E050000}"/>
    <cellStyle name="Heading 3 2 19" xfId="1296" xr:uid="{00000000-0005-0000-0000-00000F050000}"/>
    <cellStyle name="Heading 3 2 2" xfId="1297" xr:uid="{00000000-0005-0000-0000-000010050000}"/>
    <cellStyle name="Heading 3 2 20" xfId="1298" xr:uid="{00000000-0005-0000-0000-000011050000}"/>
    <cellStyle name="Heading 3 2 21" xfId="1299" xr:uid="{00000000-0005-0000-0000-000012050000}"/>
    <cellStyle name="Heading 3 2 22" xfId="1300" xr:uid="{00000000-0005-0000-0000-000013050000}"/>
    <cellStyle name="Heading 3 2 23" xfId="1301" xr:uid="{00000000-0005-0000-0000-000014050000}"/>
    <cellStyle name="Heading 3 2 24" xfId="1302" xr:uid="{00000000-0005-0000-0000-000015050000}"/>
    <cellStyle name="Heading 3 2 25" xfId="1303" xr:uid="{00000000-0005-0000-0000-000016050000}"/>
    <cellStyle name="Heading 3 2 26" xfId="1304" xr:uid="{00000000-0005-0000-0000-000017050000}"/>
    <cellStyle name="Heading 3 2 27" xfId="1305" xr:uid="{00000000-0005-0000-0000-000018050000}"/>
    <cellStyle name="Heading 3 2 28" xfId="1306" xr:uid="{00000000-0005-0000-0000-000019050000}"/>
    <cellStyle name="Heading 3 2 29" xfId="1307" xr:uid="{00000000-0005-0000-0000-00001A050000}"/>
    <cellStyle name="Heading 3 2 3" xfId="1308" xr:uid="{00000000-0005-0000-0000-00001B050000}"/>
    <cellStyle name="Heading 3 2 30" xfId="1309" xr:uid="{00000000-0005-0000-0000-00001C050000}"/>
    <cellStyle name="Heading 3 2 31" xfId="1310" xr:uid="{00000000-0005-0000-0000-00001D050000}"/>
    <cellStyle name="Heading 3 2 32" xfId="1311" xr:uid="{00000000-0005-0000-0000-00001E050000}"/>
    <cellStyle name="Heading 3 2 33" xfId="1312" xr:uid="{00000000-0005-0000-0000-00001F050000}"/>
    <cellStyle name="Heading 3 2 34" xfId="1313" xr:uid="{00000000-0005-0000-0000-000020050000}"/>
    <cellStyle name="Heading 3 2 35" xfId="1314" xr:uid="{00000000-0005-0000-0000-000021050000}"/>
    <cellStyle name="Heading 3 2 36" xfId="1315" xr:uid="{00000000-0005-0000-0000-000022050000}"/>
    <cellStyle name="Heading 3 2 37" xfId="1316" xr:uid="{00000000-0005-0000-0000-000023050000}"/>
    <cellStyle name="Heading 3 2 38" xfId="1317" xr:uid="{00000000-0005-0000-0000-000024050000}"/>
    <cellStyle name="Heading 3 2 39" xfId="1318" xr:uid="{00000000-0005-0000-0000-000025050000}"/>
    <cellStyle name="Heading 3 2 4" xfId="1319" xr:uid="{00000000-0005-0000-0000-000026050000}"/>
    <cellStyle name="Heading 3 2 40" xfId="1320" xr:uid="{00000000-0005-0000-0000-000027050000}"/>
    <cellStyle name="Heading 3 2 41" xfId="1321" xr:uid="{00000000-0005-0000-0000-000028050000}"/>
    <cellStyle name="Heading 3 2 42" xfId="1322" xr:uid="{00000000-0005-0000-0000-000029050000}"/>
    <cellStyle name="Heading 3 2 43" xfId="1323" xr:uid="{00000000-0005-0000-0000-00002A050000}"/>
    <cellStyle name="Heading 3 2 44" xfId="1324" xr:uid="{00000000-0005-0000-0000-00002B050000}"/>
    <cellStyle name="Heading 3 2 45" xfId="1325" xr:uid="{00000000-0005-0000-0000-00002C050000}"/>
    <cellStyle name="Heading 3 2 46" xfId="1326" xr:uid="{00000000-0005-0000-0000-00002D050000}"/>
    <cellStyle name="Heading 3 2 47" xfId="1327" xr:uid="{00000000-0005-0000-0000-00002E050000}"/>
    <cellStyle name="Heading 3 2 48" xfId="1328" xr:uid="{00000000-0005-0000-0000-00002F050000}"/>
    <cellStyle name="Heading 3 2 49" xfId="1329" xr:uid="{00000000-0005-0000-0000-000030050000}"/>
    <cellStyle name="Heading 3 2 49 2" xfId="1330" xr:uid="{00000000-0005-0000-0000-000031050000}"/>
    <cellStyle name="Heading 3 2 5" xfId="1331" xr:uid="{00000000-0005-0000-0000-000032050000}"/>
    <cellStyle name="Heading 3 2 50" xfId="1332" xr:uid="{00000000-0005-0000-0000-000033050000}"/>
    <cellStyle name="Heading 3 2 50 2" xfId="1333" xr:uid="{00000000-0005-0000-0000-000034050000}"/>
    <cellStyle name="Heading 3 2 6" xfId="1334" xr:uid="{00000000-0005-0000-0000-000035050000}"/>
    <cellStyle name="Heading 3 2 7" xfId="1335" xr:uid="{00000000-0005-0000-0000-000036050000}"/>
    <cellStyle name="Heading 3 2 8" xfId="1336" xr:uid="{00000000-0005-0000-0000-000037050000}"/>
    <cellStyle name="Heading 3 2 9" xfId="1337" xr:uid="{00000000-0005-0000-0000-000038050000}"/>
    <cellStyle name="Heading 4 2" xfId="1338" xr:uid="{00000000-0005-0000-0000-000039050000}"/>
    <cellStyle name="Heading 4 2 10" xfId="1339" xr:uid="{00000000-0005-0000-0000-00003A050000}"/>
    <cellStyle name="Heading 4 2 11" xfId="1340" xr:uid="{00000000-0005-0000-0000-00003B050000}"/>
    <cellStyle name="Heading 4 2 12" xfId="1341" xr:uid="{00000000-0005-0000-0000-00003C050000}"/>
    <cellStyle name="Heading 4 2 13" xfId="1342" xr:uid="{00000000-0005-0000-0000-00003D050000}"/>
    <cellStyle name="Heading 4 2 14" xfId="1343" xr:uid="{00000000-0005-0000-0000-00003E050000}"/>
    <cellStyle name="Heading 4 2 15" xfId="1344" xr:uid="{00000000-0005-0000-0000-00003F050000}"/>
    <cellStyle name="Heading 4 2 16" xfId="1345" xr:uid="{00000000-0005-0000-0000-000040050000}"/>
    <cellStyle name="Heading 4 2 17" xfId="1346" xr:uid="{00000000-0005-0000-0000-000041050000}"/>
    <cellStyle name="Heading 4 2 18" xfId="1347" xr:uid="{00000000-0005-0000-0000-000042050000}"/>
    <cellStyle name="Heading 4 2 19" xfId="1348" xr:uid="{00000000-0005-0000-0000-000043050000}"/>
    <cellStyle name="Heading 4 2 2" xfId="1349" xr:uid="{00000000-0005-0000-0000-000044050000}"/>
    <cellStyle name="Heading 4 2 20" xfId="1350" xr:uid="{00000000-0005-0000-0000-000045050000}"/>
    <cellStyle name="Heading 4 2 21" xfId="1351" xr:uid="{00000000-0005-0000-0000-000046050000}"/>
    <cellStyle name="Heading 4 2 22" xfId="1352" xr:uid="{00000000-0005-0000-0000-000047050000}"/>
    <cellStyle name="Heading 4 2 23" xfId="1353" xr:uid="{00000000-0005-0000-0000-000048050000}"/>
    <cellStyle name="Heading 4 2 24" xfId="1354" xr:uid="{00000000-0005-0000-0000-000049050000}"/>
    <cellStyle name="Heading 4 2 25" xfId="1355" xr:uid="{00000000-0005-0000-0000-00004A050000}"/>
    <cellStyle name="Heading 4 2 26" xfId="1356" xr:uid="{00000000-0005-0000-0000-00004B050000}"/>
    <cellStyle name="Heading 4 2 27" xfId="1357" xr:uid="{00000000-0005-0000-0000-00004C050000}"/>
    <cellStyle name="Heading 4 2 28" xfId="1358" xr:uid="{00000000-0005-0000-0000-00004D050000}"/>
    <cellStyle name="Heading 4 2 29" xfId="1359" xr:uid="{00000000-0005-0000-0000-00004E050000}"/>
    <cellStyle name="Heading 4 2 3" xfId="1360" xr:uid="{00000000-0005-0000-0000-00004F050000}"/>
    <cellStyle name="Heading 4 2 30" xfId="1361" xr:uid="{00000000-0005-0000-0000-000050050000}"/>
    <cellStyle name="Heading 4 2 31" xfId="1362" xr:uid="{00000000-0005-0000-0000-000051050000}"/>
    <cellStyle name="Heading 4 2 32" xfId="1363" xr:uid="{00000000-0005-0000-0000-000052050000}"/>
    <cellStyle name="Heading 4 2 33" xfId="1364" xr:uid="{00000000-0005-0000-0000-000053050000}"/>
    <cellStyle name="Heading 4 2 34" xfId="1365" xr:uid="{00000000-0005-0000-0000-000054050000}"/>
    <cellStyle name="Heading 4 2 35" xfId="1366" xr:uid="{00000000-0005-0000-0000-000055050000}"/>
    <cellStyle name="Heading 4 2 36" xfId="1367" xr:uid="{00000000-0005-0000-0000-000056050000}"/>
    <cellStyle name="Heading 4 2 37" xfId="1368" xr:uid="{00000000-0005-0000-0000-000057050000}"/>
    <cellStyle name="Heading 4 2 38" xfId="1369" xr:uid="{00000000-0005-0000-0000-000058050000}"/>
    <cellStyle name="Heading 4 2 39" xfId="1370" xr:uid="{00000000-0005-0000-0000-000059050000}"/>
    <cellStyle name="Heading 4 2 4" xfId="1371" xr:uid="{00000000-0005-0000-0000-00005A050000}"/>
    <cellStyle name="Heading 4 2 40" xfId="1372" xr:uid="{00000000-0005-0000-0000-00005B050000}"/>
    <cellStyle name="Heading 4 2 41" xfId="1373" xr:uid="{00000000-0005-0000-0000-00005C050000}"/>
    <cellStyle name="Heading 4 2 42" xfId="1374" xr:uid="{00000000-0005-0000-0000-00005D050000}"/>
    <cellStyle name="Heading 4 2 43" xfId="1375" xr:uid="{00000000-0005-0000-0000-00005E050000}"/>
    <cellStyle name="Heading 4 2 44" xfId="1376" xr:uid="{00000000-0005-0000-0000-00005F050000}"/>
    <cellStyle name="Heading 4 2 45" xfId="1377" xr:uid="{00000000-0005-0000-0000-000060050000}"/>
    <cellStyle name="Heading 4 2 46" xfId="1378" xr:uid="{00000000-0005-0000-0000-000061050000}"/>
    <cellStyle name="Heading 4 2 47" xfId="1379" xr:uid="{00000000-0005-0000-0000-000062050000}"/>
    <cellStyle name="Heading 4 2 48" xfId="1380" xr:uid="{00000000-0005-0000-0000-000063050000}"/>
    <cellStyle name="Heading 4 2 49" xfId="1381" xr:uid="{00000000-0005-0000-0000-000064050000}"/>
    <cellStyle name="Heading 4 2 49 2" xfId="1382" xr:uid="{00000000-0005-0000-0000-000065050000}"/>
    <cellStyle name="Heading 4 2 5" xfId="1383" xr:uid="{00000000-0005-0000-0000-000066050000}"/>
    <cellStyle name="Heading 4 2 50" xfId="1384" xr:uid="{00000000-0005-0000-0000-000067050000}"/>
    <cellStyle name="Heading 4 2 50 2" xfId="1385" xr:uid="{00000000-0005-0000-0000-000068050000}"/>
    <cellStyle name="Heading 4 2 6" xfId="1386" xr:uid="{00000000-0005-0000-0000-000069050000}"/>
    <cellStyle name="Heading 4 2 7" xfId="1387" xr:uid="{00000000-0005-0000-0000-00006A050000}"/>
    <cellStyle name="Heading 4 2 8" xfId="1388" xr:uid="{00000000-0005-0000-0000-00006B050000}"/>
    <cellStyle name="Heading 4 2 9" xfId="1389" xr:uid="{00000000-0005-0000-0000-00006C050000}"/>
    <cellStyle name="Input 2" xfId="1390" xr:uid="{00000000-0005-0000-0000-00006D050000}"/>
    <cellStyle name="Input 2 10" xfId="1391" xr:uid="{00000000-0005-0000-0000-00006E050000}"/>
    <cellStyle name="Input 2 11" xfId="1392" xr:uid="{00000000-0005-0000-0000-00006F050000}"/>
    <cellStyle name="Input 2 12" xfId="1393" xr:uid="{00000000-0005-0000-0000-000070050000}"/>
    <cellStyle name="Input 2 13" xfId="1394" xr:uid="{00000000-0005-0000-0000-000071050000}"/>
    <cellStyle name="Input 2 14" xfId="1395" xr:uid="{00000000-0005-0000-0000-000072050000}"/>
    <cellStyle name="Input 2 15" xfId="1396" xr:uid="{00000000-0005-0000-0000-000073050000}"/>
    <cellStyle name="Input 2 16" xfId="1397" xr:uid="{00000000-0005-0000-0000-000074050000}"/>
    <cellStyle name="Input 2 17" xfId="1398" xr:uid="{00000000-0005-0000-0000-000075050000}"/>
    <cellStyle name="Input 2 18" xfId="1399" xr:uid="{00000000-0005-0000-0000-000076050000}"/>
    <cellStyle name="Input 2 19" xfId="1400" xr:uid="{00000000-0005-0000-0000-000077050000}"/>
    <cellStyle name="Input 2 2" xfId="1401" xr:uid="{00000000-0005-0000-0000-000078050000}"/>
    <cellStyle name="Input 2 20" xfId="1402" xr:uid="{00000000-0005-0000-0000-000079050000}"/>
    <cellStyle name="Input 2 21" xfId="1403" xr:uid="{00000000-0005-0000-0000-00007A050000}"/>
    <cellStyle name="Input 2 22" xfId="1404" xr:uid="{00000000-0005-0000-0000-00007B050000}"/>
    <cellStyle name="Input 2 23" xfId="1405" xr:uid="{00000000-0005-0000-0000-00007C050000}"/>
    <cellStyle name="Input 2 24" xfId="1406" xr:uid="{00000000-0005-0000-0000-00007D050000}"/>
    <cellStyle name="Input 2 25" xfId="1407" xr:uid="{00000000-0005-0000-0000-00007E050000}"/>
    <cellStyle name="Input 2 26" xfId="1408" xr:uid="{00000000-0005-0000-0000-00007F050000}"/>
    <cellStyle name="Input 2 27" xfId="1409" xr:uid="{00000000-0005-0000-0000-000080050000}"/>
    <cellStyle name="Input 2 28" xfId="1410" xr:uid="{00000000-0005-0000-0000-000081050000}"/>
    <cellStyle name="Input 2 29" xfId="1411" xr:uid="{00000000-0005-0000-0000-000082050000}"/>
    <cellStyle name="Input 2 3" xfId="1412" xr:uid="{00000000-0005-0000-0000-000083050000}"/>
    <cellStyle name="Input 2 30" xfId="1413" xr:uid="{00000000-0005-0000-0000-000084050000}"/>
    <cellStyle name="Input 2 31" xfId="1414" xr:uid="{00000000-0005-0000-0000-000085050000}"/>
    <cellStyle name="Input 2 32" xfId="1415" xr:uid="{00000000-0005-0000-0000-000086050000}"/>
    <cellStyle name="Input 2 33" xfId="1416" xr:uid="{00000000-0005-0000-0000-000087050000}"/>
    <cellStyle name="Input 2 34" xfId="1417" xr:uid="{00000000-0005-0000-0000-000088050000}"/>
    <cellStyle name="Input 2 35" xfId="1418" xr:uid="{00000000-0005-0000-0000-000089050000}"/>
    <cellStyle name="Input 2 36" xfId="1419" xr:uid="{00000000-0005-0000-0000-00008A050000}"/>
    <cellStyle name="Input 2 37" xfId="1420" xr:uid="{00000000-0005-0000-0000-00008B050000}"/>
    <cellStyle name="Input 2 38" xfId="1421" xr:uid="{00000000-0005-0000-0000-00008C050000}"/>
    <cellStyle name="Input 2 39" xfId="1422" xr:uid="{00000000-0005-0000-0000-00008D050000}"/>
    <cellStyle name="Input 2 4" xfId="1423" xr:uid="{00000000-0005-0000-0000-00008E050000}"/>
    <cellStyle name="Input 2 40" xfId="1424" xr:uid="{00000000-0005-0000-0000-00008F050000}"/>
    <cellStyle name="Input 2 41" xfId="1425" xr:uid="{00000000-0005-0000-0000-000090050000}"/>
    <cellStyle name="Input 2 42" xfId="1426" xr:uid="{00000000-0005-0000-0000-000091050000}"/>
    <cellStyle name="Input 2 43" xfId="1427" xr:uid="{00000000-0005-0000-0000-000092050000}"/>
    <cellStyle name="Input 2 44" xfId="1428" xr:uid="{00000000-0005-0000-0000-000093050000}"/>
    <cellStyle name="Input 2 45" xfId="1429" xr:uid="{00000000-0005-0000-0000-000094050000}"/>
    <cellStyle name="Input 2 46" xfId="1430" xr:uid="{00000000-0005-0000-0000-000095050000}"/>
    <cellStyle name="Input 2 47" xfId="1431" xr:uid="{00000000-0005-0000-0000-000096050000}"/>
    <cellStyle name="Input 2 48" xfId="1432" xr:uid="{00000000-0005-0000-0000-000097050000}"/>
    <cellStyle name="Input 2 49" xfId="1433" xr:uid="{00000000-0005-0000-0000-000098050000}"/>
    <cellStyle name="Input 2 5" xfId="1434" xr:uid="{00000000-0005-0000-0000-000099050000}"/>
    <cellStyle name="Input 2 6" xfId="1435" xr:uid="{00000000-0005-0000-0000-00009A050000}"/>
    <cellStyle name="Input 2 7" xfId="1436" xr:uid="{00000000-0005-0000-0000-00009B050000}"/>
    <cellStyle name="Input 2 8" xfId="1437" xr:uid="{00000000-0005-0000-0000-00009C050000}"/>
    <cellStyle name="Input 2 9" xfId="1438" xr:uid="{00000000-0005-0000-0000-00009D050000}"/>
    <cellStyle name="Linked Cell 2" xfId="1439" xr:uid="{00000000-0005-0000-0000-00009E050000}"/>
    <cellStyle name="Linked Cell 2 10" xfId="1440" xr:uid="{00000000-0005-0000-0000-00009F050000}"/>
    <cellStyle name="Linked Cell 2 11" xfId="1441" xr:uid="{00000000-0005-0000-0000-0000A0050000}"/>
    <cellStyle name="Linked Cell 2 12" xfId="1442" xr:uid="{00000000-0005-0000-0000-0000A1050000}"/>
    <cellStyle name="Linked Cell 2 13" xfId="1443" xr:uid="{00000000-0005-0000-0000-0000A2050000}"/>
    <cellStyle name="Linked Cell 2 14" xfId="1444" xr:uid="{00000000-0005-0000-0000-0000A3050000}"/>
    <cellStyle name="Linked Cell 2 15" xfId="1445" xr:uid="{00000000-0005-0000-0000-0000A4050000}"/>
    <cellStyle name="Linked Cell 2 16" xfId="1446" xr:uid="{00000000-0005-0000-0000-0000A5050000}"/>
    <cellStyle name="Linked Cell 2 17" xfId="1447" xr:uid="{00000000-0005-0000-0000-0000A6050000}"/>
    <cellStyle name="Linked Cell 2 18" xfId="1448" xr:uid="{00000000-0005-0000-0000-0000A7050000}"/>
    <cellStyle name="Linked Cell 2 19" xfId="1449" xr:uid="{00000000-0005-0000-0000-0000A8050000}"/>
    <cellStyle name="Linked Cell 2 2" xfId="1450" xr:uid="{00000000-0005-0000-0000-0000A9050000}"/>
    <cellStyle name="Linked Cell 2 20" xfId="1451" xr:uid="{00000000-0005-0000-0000-0000AA050000}"/>
    <cellStyle name="Linked Cell 2 21" xfId="1452" xr:uid="{00000000-0005-0000-0000-0000AB050000}"/>
    <cellStyle name="Linked Cell 2 22" xfId="1453" xr:uid="{00000000-0005-0000-0000-0000AC050000}"/>
    <cellStyle name="Linked Cell 2 23" xfId="1454" xr:uid="{00000000-0005-0000-0000-0000AD050000}"/>
    <cellStyle name="Linked Cell 2 24" xfId="1455" xr:uid="{00000000-0005-0000-0000-0000AE050000}"/>
    <cellStyle name="Linked Cell 2 25" xfId="1456" xr:uid="{00000000-0005-0000-0000-0000AF050000}"/>
    <cellStyle name="Linked Cell 2 26" xfId="1457" xr:uid="{00000000-0005-0000-0000-0000B0050000}"/>
    <cellStyle name="Linked Cell 2 27" xfId="1458" xr:uid="{00000000-0005-0000-0000-0000B1050000}"/>
    <cellStyle name="Linked Cell 2 28" xfId="1459" xr:uid="{00000000-0005-0000-0000-0000B2050000}"/>
    <cellStyle name="Linked Cell 2 29" xfId="1460" xr:uid="{00000000-0005-0000-0000-0000B3050000}"/>
    <cellStyle name="Linked Cell 2 3" xfId="1461" xr:uid="{00000000-0005-0000-0000-0000B4050000}"/>
    <cellStyle name="Linked Cell 2 30" xfId="1462" xr:uid="{00000000-0005-0000-0000-0000B5050000}"/>
    <cellStyle name="Linked Cell 2 31" xfId="1463" xr:uid="{00000000-0005-0000-0000-0000B6050000}"/>
    <cellStyle name="Linked Cell 2 32" xfId="1464" xr:uid="{00000000-0005-0000-0000-0000B7050000}"/>
    <cellStyle name="Linked Cell 2 33" xfId="1465" xr:uid="{00000000-0005-0000-0000-0000B8050000}"/>
    <cellStyle name="Linked Cell 2 34" xfId="1466" xr:uid="{00000000-0005-0000-0000-0000B9050000}"/>
    <cellStyle name="Linked Cell 2 35" xfId="1467" xr:uid="{00000000-0005-0000-0000-0000BA050000}"/>
    <cellStyle name="Linked Cell 2 36" xfId="1468" xr:uid="{00000000-0005-0000-0000-0000BB050000}"/>
    <cellStyle name="Linked Cell 2 37" xfId="1469" xr:uid="{00000000-0005-0000-0000-0000BC050000}"/>
    <cellStyle name="Linked Cell 2 38" xfId="1470" xr:uid="{00000000-0005-0000-0000-0000BD050000}"/>
    <cellStyle name="Linked Cell 2 39" xfId="1471" xr:uid="{00000000-0005-0000-0000-0000BE050000}"/>
    <cellStyle name="Linked Cell 2 4" xfId="1472" xr:uid="{00000000-0005-0000-0000-0000BF050000}"/>
    <cellStyle name="Linked Cell 2 40" xfId="1473" xr:uid="{00000000-0005-0000-0000-0000C0050000}"/>
    <cellStyle name="Linked Cell 2 41" xfId="1474" xr:uid="{00000000-0005-0000-0000-0000C1050000}"/>
    <cellStyle name="Linked Cell 2 42" xfId="1475" xr:uid="{00000000-0005-0000-0000-0000C2050000}"/>
    <cellStyle name="Linked Cell 2 43" xfId="1476" xr:uid="{00000000-0005-0000-0000-0000C3050000}"/>
    <cellStyle name="Linked Cell 2 44" xfId="1477" xr:uid="{00000000-0005-0000-0000-0000C4050000}"/>
    <cellStyle name="Linked Cell 2 45" xfId="1478" xr:uid="{00000000-0005-0000-0000-0000C5050000}"/>
    <cellStyle name="Linked Cell 2 46" xfId="1479" xr:uid="{00000000-0005-0000-0000-0000C6050000}"/>
    <cellStyle name="Linked Cell 2 47" xfId="1480" xr:uid="{00000000-0005-0000-0000-0000C7050000}"/>
    <cellStyle name="Linked Cell 2 48" xfId="1481" xr:uid="{00000000-0005-0000-0000-0000C8050000}"/>
    <cellStyle name="Linked Cell 2 49" xfId="1482" xr:uid="{00000000-0005-0000-0000-0000C9050000}"/>
    <cellStyle name="Linked Cell 2 49 2" xfId="1483" xr:uid="{00000000-0005-0000-0000-0000CA050000}"/>
    <cellStyle name="Linked Cell 2 5" xfId="1484" xr:uid="{00000000-0005-0000-0000-0000CB050000}"/>
    <cellStyle name="Linked Cell 2 50" xfId="1485" xr:uid="{00000000-0005-0000-0000-0000CC050000}"/>
    <cellStyle name="Linked Cell 2 50 2" xfId="1486" xr:uid="{00000000-0005-0000-0000-0000CD050000}"/>
    <cellStyle name="Linked Cell 2 6" xfId="1487" xr:uid="{00000000-0005-0000-0000-0000CE050000}"/>
    <cellStyle name="Linked Cell 2 7" xfId="1488" xr:uid="{00000000-0005-0000-0000-0000CF050000}"/>
    <cellStyle name="Linked Cell 2 8" xfId="1489" xr:uid="{00000000-0005-0000-0000-0000D0050000}"/>
    <cellStyle name="Linked Cell 2 9" xfId="1490" xr:uid="{00000000-0005-0000-0000-0000D1050000}"/>
    <cellStyle name="Neutral 2" xfId="1491" xr:uid="{00000000-0005-0000-0000-0000D2050000}"/>
    <cellStyle name="Neutral 2 10" xfId="1492" xr:uid="{00000000-0005-0000-0000-0000D3050000}"/>
    <cellStyle name="Neutral 2 11" xfId="1493" xr:uid="{00000000-0005-0000-0000-0000D4050000}"/>
    <cellStyle name="Neutral 2 12" xfId="1494" xr:uid="{00000000-0005-0000-0000-0000D5050000}"/>
    <cellStyle name="Neutral 2 13" xfId="1495" xr:uid="{00000000-0005-0000-0000-0000D6050000}"/>
    <cellStyle name="Neutral 2 14" xfId="1496" xr:uid="{00000000-0005-0000-0000-0000D7050000}"/>
    <cellStyle name="Neutral 2 15" xfId="1497" xr:uid="{00000000-0005-0000-0000-0000D8050000}"/>
    <cellStyle name="Neutral 2 16" xfId="1498" xr:uid="{00000000-0005-0000-0000-0000D9050000}"/>
    <cellStyle name="Neutral 2 17" xfId="1499" xr:uid="{00000000-0005-0000-0000-0000DA050000}"/>
    <cellStyle name="Neutral 2 18" xfId="1500" xr:uid="{00000000-0005-0000-0000-0000DB050000}"/>
    <cellStyle name="Neutral 2 19" xfId="1501" xr:uid="{00000000-0005-0000-0000-0000DC050000}"/>
    <cellStyle name="Neutral 2 2" xfId="1502" xr:uid="{00000000-0005-0000-0000-0000DD050000}"/>
    <cellStyle name="Neutral 2 20" xfId="1503" xr:uid="{00000000-0005-0000-0000-0000DE050000}"/>
    <cellStyle name="Neutral 2 21" xfId="1504" xr:uid="{00000000-0005-0000-0000-0000DF050000}"/>
    <cellStyle name="Neutral 2 22" xfId="1505" xr:uid="{00000000-0005-0000-0000-0000E0050000}"/>
    <cellStyle name="Neutral 2 23" xfId="1506" xr:uid="{00000000-0005-0000-0000-0000E1050000}"/>
    <cellStyle name="Neutral 2 24" xfId="1507" xr:uid="{00000000-0005-0000-0000-0000E2050000}"/>
    <cellStyle name="Neutral 2 25" xfId="1508" xr:uid="{00000000-0005-0000-0000-0000E3050000}"/>
    <cellStyle name="Neutral 2 26" xfId="1509" xr:uid="{00000000-0005-0000-0000-0000E4050000}"/>
    <cellStyle name="Neutral 2 27" xfId="1510" xr:uid="{00000000-0005-0000-0000-0000E5050000}"/>
    <cellStyle name="Neutral 2 28" xfId="1511" xr:uid="{00000000-0005-0000-0000-0000E6050000}"/>
    <cellStyle name="Neutral 2 29" xfId="1512" xr:uid="{00000000-0005-0000-0000-0000E7050000}"/>
    <cellStyle name="Neutral 2 3" xfId="1513" xr:uid="{00000000-0005-0000-0000-0000E8050000}"/>
    <cellStyle name="Neutral 2 30" xfId="1514" xr:uid="{00000000-0005-0000-0000-0000E9050000}"/>
    <cellStyle name="Neutral 2 31" xfId="1515" xr:uid="{00000000-0005-0000-0000-0000EA050000}"/>
    <cellStyle name="Neutral 2 32" xfId="1516" xr:uid="{00000000-0005-0000-0000-0000EB050000}"/>
    <cellStyle name="Neutral 2 33" xfId="1517" xr:uid="{00000000-0005-0000-0000-0000EC050000}"/>
    <cellStyle name="Neutral 2 34" xfId="1518" xr:uid="{00000000-0005-0000-0000-0000ED050000}"/>
    <cellStyle name="Neutral 2 35" xfId="1519" xr:uid="{00000000-0005-0000-0000-0000EE050000}"/>
    <cellStyle name="Neutral 2 36" xfId="1520" xr:uid="{00000000-0005-0000-0000-0000EF050000}"/>
    <cellStyle name="Neutral 2 37" xfId="1521" xr:uid="{00000000-0005-0000-0000-0000F0050000}"/>
    <cellStyle name="Neutral 2 38" xfId="1522" xr:uid="{00000000-0005-0000-0000-0000F1050000}"/>
    <cellStyle name="Neutral 2 39" xfId="1523" xr:uid="{00000000-0005-0000-0000-0000F2050000}"/>
    <cellStyle name="Neutral 2 4" xfId="1524" xr:uid="{00000000-0005-0000-0000-0000F3050000}"/>
    <cellStyle name="Neutral 2 40" xfId="1525" xr:uid="{00000000-0005-0000-0000-0000F4050000}"/>
    <cellStyle name="Neutral 2 41" xfId="1526" xr:uid="{00000000-0005-0000-0000-0000F5050000}"/>
    <cellStyle name="Neutral 2 42" xfId="1527" xr:uid="{00000000-0005-0000-0000-0000F6050000}"/>
    <cellStyle name="Neutral 2 43" xfId="1528" xr:uid="{00000000-0005-0000-0000-0000F7050000}"/>
    <cellStyle name="Neutral 2 44" xfId="1529" xr:uid="{00000000-0005-0000-0000-0000F8050000}"/>
    <cellStyle name="Neutral 2 45" xfId="1530" xr:uid="{00000000-0005-0000-0000-0000F9050000}"/>
    <cellStyle name="Neutral 2 46" xfId="1531" xr:uid="{00000000-0005-0000-0000-0000FA050000}"/>
    <cellStyle name="Neutral 2 47" xfId="1532" xr:uid="{00000000-0005-0000-0000-0000FB050000}"/>
    <cellStyle name="Neutral 2 48" xfId="1533" xr:uid="{00000000-0005-0000-0000-0000FC050000}"/>
    <cellStyle name="Neutral 2 49" xfId="1534" xr:uid="{00000000-0005-0000-0000-0000FD050000}"/>
    <cellStyle name="Neutral 2 5" xfId="1535" xr:uid="{00000000-0005-0000-0000-0000FE050000}"/>
    <cellStyle name="Neutral 2 6" xfId="1536" xr:uid="{00000000-0005-0000-0000-0000FF050000}"/>
    <cellStyle name="Neutral 2 7" xfId="1537" xr:uid="{00000000-0005-0000-0000-000000060000}"/>
    <cellStyle name="Neutral 2 8" xfId="1538" xr:uid="{00000000-0005-0000-0000-000001060000}"/>
    <cellStyle name="Neutral 2 9" xfId="1539" xr:uid="{00000000-0005-0000-0000-000002060000}"/>
    <cellStyle name="Normal" xfId="0" builtinId="0"/>
    <cellStyle name="Normal 10" xfId="1540" xr:uid="{00000000-0005-0000-0000-000004060000}"/>
    <cellStyle name="Normal 10 2" xfId="1541" xr:uid="{00000000-0005-0000-0000-000005060000}"/>
    <cellStyle name="Normal 100" xfId="1542" xr:uid="{00000000-0005-0000-0000-000006060000}"/>
    <cellStyle name="Normal 100 2" xfId="1543" xr:uid="{00000000-0005-0000-0000-000007060000}"/>
    <cellStyle name="Normal 101" xfId="1544" xr:uid="{00000000-0005-0000-0000-000008060000}"/>
    <cellStyle name="Normal 101 2" xfId="1545" xr:uid="{00000000-0005-0000-0000-000009060000}"/>
    <cellStyle name="Normal 102" xfId="1546" xr:uid="{00000000-0005-0000-0000-00000A060000}"/>
    <cellStyle name="Normal 102 2" xfId="1547" xr:uid="{00000000-0005-0000-0000-00000B060000}"/>
    <cellStyle name="Normal 103" xfId="1548" xr:uid="{00000000-0005-0000-0000-00000C060000}"/>
    <cellStyle name="Normal 103 2" xfId="1549" xr:uid="{00000000-0005-0000-0000-00000D060000}"/>
    <cellStyle name="Normal 104" xfId="1550" xr:uid="{00000000-0005-0000-0000-00000E060000}"/>
    <cellStyle name="Normal 105" xfId="1551" xr:uid="{00000000-0005-0000-0000-00000F060000}"/>
    <cellStyle name="Normal 105 2" xfId="1552" xr:uid="{00000000-0005-0000-0000-000010060000}"/>
    <cellStyle name="Normal 106" xfId="1553" xr:uid="{00000000-0005-0000-0000-000011060000}"/>
    <cellStyle name="Normal 106 2" xfId="1554" xr:uid="{00000000-0005-0000-0000-000012060000}"/>
    <cellStyle name="Normal 107" xfId="1555" xr:uid="{00000000-0005-0000-0000-000013060000}"/>
    <cellStyle name="Normal 107 2" xfId="1556" xr:uid="{00000000-0005-0000-0000-000014060000}"/>
    <cellStyle name="Normal 108" xfId="1557" xr:uid="{00000000-0005-0000-0000-000015060000}"/>
    <cellStyle name="Normal 108 2" xfId="1558" xr:uid="{00000000-0005-0000-0000-000016060000}"/>
    <cellStyle name="Normal 109" xfId="1559" xr:uid="{00000000-0005-0000-0000-000017060000}"/>
    <cellStyle name="Normal 109 2" xfId="1560" xr:uid="{00000000-0005-0000-0000-000018060000}"/>
    <cellStyle name="Normal 11" xfId="1561" xr:uid="{00000000-0005-0000-0000-000019060000}"/>
    <cellStyle name="Normal 11 2" xfId="1562" xr:uid="{00000000-0005-0000-0000-00001A060000}"/>
    <cellStyle name="Normal 110" xfId="1563" xr:uid="{00000000-0005-0000-0000-00001B060000}"/>
    <cellStyle name="Normal 110 2" xfId="1564" xr:uid="{00000000-0005-0000-0000-00001C060000}"/>
    <cellStyle name="Normal 111" xfId="1565" xr:uid="{00000000-0005-0000-0000-00001D060000}"/>
    <cellStyle name="Normal 111 2" xfId="1566" xr:uid="{00000000-0005-0000-0000-00001E060000}"/>
    <cellStyle name="Normal 112" xfId="1567" xr:uid="{00000000-0005-0000-0000-00001F060000}"/>
    <cellStyle name="Normal 112 2" xfId="1568" xr:uid="{00000000-0005-0000-0000-000020060000}"/>
    <cellStyle name="Normal 113" xfId="1569" xr:uid="{00000000-0005-0000-0000-000021060000}"/>
    <cellStyle name="Normal 113 2" xfId="1570" xr:uid="{00000000-0005-0000-0000-000022060000}"/>
    <cellStyle name="Normal 114" xfId="1571" xr:uid="{00000000-0005-0000-0000-000023060000}"/>
    <cellStyle name="Normal 114 2" xfId="1572" xr:uid="{00000000-0005-0000-0000-000024060000}"/>
    <cellStyle name="Normal 115" xfId="1573" xr:uid="{00000000-0005-0000-0000-000025060000}"/>
    <cellStyle name="Normal 115 2" xfId="1574" xr:uid="{00000000-0005-0000-0000-000026060000}"/>
    <cellStyle name="Normal 116" xfId="1575" xr:uid="{00000000-0005-0000-0000-000027060000}"/>
    <cellStyle name="Normal 116 2" xfId="1576" xr:uid="{00000000-0005-0000-0000-000028060000}"/>
    <cellStyle name="Normal 117" xfId="1577" xr:uid="{00000000-0005-0000-0000-000029060000}"/>
    <cellStyle name="Normal 117 2" xfId="1578" xr:uid="{00000000-0005-0000-0000-00002A060000}"/>
    <cellStyle name="Normal 118" xfId="1579" xr:uid="{00000000-0005-0000-0000-00002B060000}"/>
    <cellStyle name="Normal 118 2" xfId="1580" xr:uid="{00000000-0005-0000-0000-00002C060000}"/>
    <cellStyle name="Normal 119" xfId="1581" xr:uid="{00000000-0005-0000-0000-00002D060000}"/>
    <cellStyle name="Normal 12" xfId="1582" xr:uid="{00000000-0005-0000-0000-00002E060000}"/>
    <cellStyle name="Normal 12 2" xfId="1583" xr:uid="{00000000-0005-0000-0000-00002F060000}"/>
    <cellStyle name="Normal 13" xfId="1584" xr:uid="{00000000-0005-0000-0000-000030060000}"/>
    <cellStyle name="Normal 13 2" xfId="1585" xr:uid="{00000000-0005-0000-0000-000031060000}"/>
    <cellStyle name="Normal 13 3" xfId="1586" xr:uid="{00000000-0005-0000-0000-000032060000}"/>
    <cellStyle name="Normal 14" xfId="1587" xr:uid="{00000000-0005-0000-0000-000033060000}"/>
    <cellStyle name="Normal 14 2" xfId="1588" xr:uid="{00000000-0005-0000-0000-000034060000}"/>
    <cellStyle name="Normal 15" xfId="1589" xr:uid="{00000000-0005-0000-0000-000035060000}"/>
    <cellStyle name="Normal 15 2" xfId="1590" xr:uid="{00000000-0005-0000-0000-000036060000}"/>
    <cellStyle name="Normal 16" xfId="1591" xr:uid="{00000000-0005-0000-0000-000037060000}"/>
    <cellStyle name="Normal 16 2" xfId="1592" xr:uid="{00000000-0005-0000-0000-000038060000}"/>
    <cellStyle name="Normal 17" xfId="1593" xr:uid="{00000000-0005-0000-0000-000039060000}"/>
    <cellStyle name="Normal 17 2" xfId="1594" xr:uid="{00000000-0005-0000-0000-00003A060000}"/>
    <cellStyle name="Normal 18" xfId="1595" xr:uid="{00000000-0005-0000-0000-00003B060000}"/>
    <cellStyle name="Normal 18 2" xfId="1596" xr:uid="{00000000-0005-0000-0000-00003C060000}"/>
    <cellStyle name="Normal 19" xfId="1597" xr:uid="{00000000-0005-0000-0000-00003D060000}"/>
    <cellStyle name="Normal 19 2" xfId="1598" xr:uid="{00000000-0005-0000-0000-00003E060000}"/>
    <cellStyle name="Normal 2" xfId="1995" xr:uid="{8DB8B764-DD71-49C1-8AFD-ECB9C3287C50}"/>
    <cellStyle name="Normal 2 10" xfId="1599" xr:uid="{00000000-0005-0000-0000-00003F060000}"/>
    <cellStyle name="Normal 2 11" xfId="1600" xr:uid="{00000000-0005-0000-0000-000040060000}"/>
    <cellStyle name="Normal 2 12" xfId="1601" xr:uid="{00000000-0005-0000-0000-000041060000}"/>
    <cellStyle name="Normal 2 13" xfId="1602" xr:uid="{00000000-0005-0000-0000-000042060000}"/>
    <cellStyle name="Normal 2 14" xfId="1603" xr:uid="{00000000-0005-0000-0000-000043060000}"/>
    <cellStyle name="Normal 2 15" xfId="1604" xr:uid="{00000000-0005-0000-0000-000044060000}"/>
    <cellStyle name="Normal 2 16" xfId="1605" xr:uid="{00000000-0005-0000-0000-000045060000}"/>
    <cellStyle name="Normal 2 17" xfId="1606" xr:uid="{00000000-0005-0000-0000-000046060000}"/>
    <cellStyle name="Normal 2 18" xfId="1607" xr:uid="{00000000-0005-0000-0000-000047060000}"/>
    <cellStyle name="Normal 2 19" xfId="1608" xr:uid="{00000000-0005-0000-0000-000048060000}"/>
    <cellStyle name="Normal 2 2" xfId="1609" xr:uid="{00000000-0005-0000-0000-000049060000}"/>
    <cellStyle name="Normal 2 20" xfId="1610" xr:uid="{00000000-0005-0000-0000-00004A060000}"/>
    <cellStyle name="Normal 2 21" xfId="1611" xr:uid="{00000000-0005-0000-0000-00004B060000}"/>
    <cellStyle name="Normal 2 22" xfId="1612" xr:uid="{00000000-0005-0000-0000-00004C060000}"/>
    <cellStyle name="Normal 2 3" xfId="1613" xr:uid="{00000000-0005-0000-0000-00004D060000}"/>
    <cellStyle name="Normal 2 4" xfId="1614" xr:uid="{00000000-0005-0000-0000-00004E060000}"/>
    <cellStyle name="Normal 2 5" xfId="1615" xr:uid="{00000000-0005-0000-0000-00004F060000}"/>
    <cellStyle name="Normal 2 6" xfId="1616" xr:uid="{00000000-0005-0000-0000-000050060000}"/>
    <cellStyle name="Normal 2 7" xfId="1617" xr:uid="{00000000-0005-0000-0000-000051060000}"/>
    <cellStyle name="Normal 2 8" xfId="1618" xr:uid="{00000000-0005-0000-0000-000052060000}"/>
    <cellStyle name="Normal 2 9" xfId="1619" xr:uid="{00000000-0005-0000-0000-000053060000}"/>
    <cellStyle name="Normal 20" xfId="1620" xr:uid="{00000000-0005-0000-0000-000054060000}"/>
    <cellStyle name="Normal 20 2" xfId="1621" xr:uid="{00000000-0005-0000-0000-000055060000}"/>
    <cellStyle name="Normal 21" xfId="1622" xr:uid="{00000000-0005-0000-0000-000056060000}"/>
    <cellStyle name="Normal 21 2" xfId="1623" xr:uid="{00000000-0005-0000-0000-000057060000}"/>
    <cellStyle name="Normal 22" xfId="1624" xr:uid="{00000000-0005-0000-0000-000058060000}"/>
    <cellStyle name="Normal 22 2" xfId="1625" xr:uid="{00000000-0005-0000-0000-000059060000}"/>
    <cellStyle name="Normal 23" xfId="1626" xr:uid="{00000000-0005-0000-0000-00005A060000}"/>
    <cellStyle name="Normal 23 2" xfId="1627" xr:uid="{00000000-0005-0000-0000-00005B060000}"/>
    <cellStyle name="Normal 24" xfId="1628" xr:uid="{00000000-0005-0000-0000-00005C060000}"/>
    <cellStyle name="Normal 24 2" xfId="1629" xr:uid="{00000000-0005-0000-0000-00005D060000}"/>
    <cellStyle name="Normal 25" xfId="1630" xr:uid="{00000000-0005-0000-0000-00005E060000}"/>
    <cellStyle name="Normal 25 2" xfId="1631" xr:uid="{00000000-0005-0000-0000-00005F060000}"/>
    <cellStyle name="Normal 26" xfId="1632" xr:uid="{00000000-0005-0000-0000-000060060000}"/>
    <cellStyle name="Normal 26 2" xfId="1633" xr:uid="{00000000-0005-0000-0000-000061060000}"/>
    <cellStyle name="Normal 27" xfId="1634" xr:uid="{00000000-0005-0000-0000-000062060000}"/>
    <cellStyle name="Normal 27 2" xfId="1635" xr:uid="{00000000-0005-0000-0000-000063060000}"/>
    <cellStyle name="Normal 28" xfId="1636" xr:uid="{00000000-0005-0000-0000-000064060000}"/>
    <cellStyle name="Normal 28 2" xfId="1637" xr:uid="{00000000-0005-0000-0000-000065060000}"/>
    <cellStyle name="Normal 29" xfId="1638" xr:uid="{00000000-0005-0000-0000-000066060000}"/>
    <cellStyle name="Normal 29 2" xfId="1639" xr:uid="{00000000-0005-0000-0000-000067060000}"/>
    <cellStyle name="Normal 3" xfId="1640" xr:uid="{00000000-0005-0000-0000-000068060000}"/>
    <cellStyle name="Normal 3 2" xfId="1641" xr:uid="{00000000-0005-0000-0000-000069060000}"/>
    <cellStyle name="Normal 30" xfId="1642" xr:uid="{00000000-0005-0000-0000-00006A060000}"/>
    <cellStyle name="Normal 30 2" xfId="1643" xr:uid="{00000000-0005-0000-0000-00006B060000}"/>
    <cellStyle name="Normal 31" xfId="1644" xr:uid="{00000000-0005-0000-0000-00006C060000}"/>
    <cellStyle name="Normal 31 2" xfId="1645" xr:uid="{00000000-0005-0000-0000-00006D060000}"/>
    <cellStyle name="Normal 32" xfId="1646" xr:uid="{00000000-0005-0000-0000-00006E060000}"/>
    <cellStyle name="Normal 32 2" xfId="1647" xr:uid="{00000000-0005-0000-0000-00006F060000}"/>
    <cellStyle name="Normal 33" xfId="1648" xr:uid="{00000000-0005-0000-0000-000070060000}"/>
    <cellStyle name="Normal 33 2" xfId="1649" xr:uid="{00000000-0005-0000-0000-000071060000}"/>
    <cellStyle name="Normal 34" xfId="1650" xr:uid="{00000000-0005-0000-0000-000072060000}"/>
    <cellStyle name="Normal 34 2" xfId="1651" xr:uid="{00000000-0005-0000-0000-000073060000}"/>
    <cellStyle name="Normal 35" xfId="1652" xr:uid="{00000000-0005-0000-0000-000074060000}"/>
    <cellStyle name="Normal 35 2" xfId="1653" xr:uid="{00000000-0005-0000-0000-000075060000}"/>
    <cellStyle name="Normal 36" xfId="1654" xr:uid="{00000000-0005-0000-0000-000076060000}"/>
    <cellStyle name="Normal 36 2" xfId="1655" xr:uid="{00000000-0005-0000-0000-000077060000}"/>
    <cellStyle name="Normal 37" xfId="1656" xr:uid="{00000000-0005-0000-0000-000078060000}"/>
    <cellStyle name="Normal 37 2" xfId="1657" xr:uid="{00000000-0005-0000-0000-000079060000}"/>
    <cellStyle name="Normal 38" xfId="1658" xr:uid="{00000000-0005-0000-0000-00007A060000}"/>
    <cellStyle name="Normal 38 2" xfId="1659" xr:uid="{00000000-0005-0000-0000-00007B060000}"/>
    <cellStyle name="Normal 39" xfId="1660" xr:uid="{00000000-0005-0000-0000-00007C060000}"/>
    <cellStyle name="Normal 39 2" xfId="1661" xr:uid="{00000000-0005-0000-0000-00007D060000}"/>
    <cellStyle name="Normal 4" xfId="1662" xr:uid="{00000000-0005-0000-0000-00007E060000}"/>
    <cellStyle name="Normal 4 2" xfId="1663" xr:uid="{00000000-0005-0000-0000-00007F060000}"/>
    <cellStyle name="Normal 40" xfId="1664" xr:uid="{00000000-0005-0000-0000-000080060000}"/>
    <cellStyle name="Normal 40 2" xfId="1665" xr:uid="{00000000-0005-0000-0000-000081060000}"/>
    <cellStyle name="Normal 41" xfId="1666" xr:uid="{00000000-0005-0000-0000-000082060000}"/>
    <cellStyle name="Normal 41 2" xfId="1667" xr:uid="{00000000-0005-0000-0000-000083060000}"/>
    <cellStyle name="Normal 42" xfId="1668" xr:uid="{00000000-0005-0000-0000-000084060000}"/>
    <cellStyle name="Normal 42 2" xfId="1669" xr:uid="{00000000-0005-0000-0000-000085060000}"/>
    <cellStyle name="Normal 43" xfId="1670" xr:uid="{00000000-0005-0000-0000-000086060000}"/>
    <cellStyle name="Normal 43 2" xfId="1671" xr:uid="{00000000-0005-0000-0000-000087060000}"/>
    <cellStyle name="Normal 44" xfId="1672" xr:uid="{00000000-0005-0000-0000-000088060000}"/>
    <cellStyle name="Normal 44 2" xfId="1673" xr:uid="{00000000-0005-0000-0000-000089060000}"/>
    <cellStyle name="Normal 45" xfId="1674" xr:uid="{00000000-0005-0000-0000-00008A060000}"/>
    <cellStyle name="Normal 45 2" xfId="1675" xr:uid="{00000000-0005-0000-0000-00008B060000}"/>
    <cellStyle name="Normal 46" xfId="1676" xr:uid="{00000000-0005-0000-0000-00008C060000}"/>
    <cellStyle name="Normal 46 2" xfId="1677" xr:uid="{00000000-0005-0000-0000-00008D060000}"/>
    <cellStyle name="Normal 47" xfId="1678" xr:uid="{00000000-0005-0000-0000-00008E060000}"/>
    <cellStyle name="Normal 47 2" xfId="1679" xr:uid="{00000000-0005-0000-0000-00008F060000}"/>
    <cellStyle name="Normal 48" xfId="1680" xr:uid="{00000000-0005-0000-0000-000090060000}"/>
    <cellStyle name="Normal 48 2" xfId="1681" xr:uid="{00000000-0005-0000-0000-000091060000}"/>
    <cellStyle name="Normal 49" xfId="1682" xr:uid="{00000000-0005-0000-0000-000092060000}"/>
    <cellStyle name="Normal 49 2" xfId="1683" xr:uid="{00000000-0005-0000-0000-000093060000}"/>
    <cellStyle name="Normal 5" xfId="1684" xr:uid="{00000000-0005-0000-0000-000094060000}"/>
    <cellStyle name="Normal 5 2" xfId="1685" xr:uid="{00000000-0005-0000-0000-000095060000}"/>
    <cellStyle name="Normal 50" xfId="1686" xr:uid="{00000000-0005-0000-0000-000096060000}"/>
    <cellStyle name="Normal 50 2" xfId="1687" xr:uid="{00000000-0005-0000-0000-000097060000}"/>
    <cellStyle name="Normal 51" xfId="1688" xr:uid="{00000000-0005-0000-0000-000098060000}"/>
    <cellStyle name="Normal 51 2" xfId="1689" xr:uid="{00000000-0005-0000-0000-000099060000}"/>
    <cellStyle name="Normal 52" xfId="1690" xr:uid="{00000000-0005-0000-0000-00009A060000}"/>
    <cellStyle name="Normal 52 2" xfId="1691" xr:uid="{00000000-0005-0000-0000-00009B060000}"/>
    <cellStyle name="Normal 53" xfId="1692" xr:uid="{00000000-0005-0000-0000-00009C060000}"/>
    <cellStyle name="Normal 53 2" xfId="1693" xr:uid="{00000000-0005-0000-0000-00009D060000}"/>
    <cellStyle name="Normal 54" xfId="1694" xr:uid="{00000000-0005-0000-0000-00009E060000}"/>
    <cellStyle name="Normal 54 2" xfId="1695" xr:uid="{00000000-0005-0000-0000-00009F060000}"/>
    <cellStyle name="Normal 55" xfId="1696" xr:uid="{00000000-0005-0000-0000-0000A0060000}"/>
    <cellStyle name="Normal 55 2" xfId="1697" xr:uid="{00000000-0005-0000-0000-0000A1060000}"/>
    <cellStyle name="Normal 56" xfId="1698" xr:uid="{00000000-0005-0000-0000-0000A2060000}"/>
    <cellStyle name="Normal 56 2" xfId="1699" xr:uid="{00000000-0005-0000-0000-0000A3060000}"/>
    <cellStyle name="Normal 57" xfId="1700" xr:uid="{00000000-0005-0000-0000-0000A4060000}"/>
    <cellStyle name="Normal 57 2" xfId="1701" xr:uid="{00000000-0005-0000-0000-0000A5060000}"/>
    <cellStyle name="Normal 58" xfId="1702" xr:uid="{00000000-0005-0000-0000-0000A6060000}"/>
    <cellStyle name="Normal 58 2" xfId="1703" xr:uid="{00000000-0005-0000-0000-0000A7060000}"/>
    <cellStyle name="Normal 59" xfId="1704" xr:uid="{00000000-0005-0000-0000-0000A8060000}"/>
    <cellStyle name="Normal 59 2" xfId="1705" xr:uid="{00000000-0005-0000-0000-0000A9060000}"/>
    <cellStyle name="Normal 6" xfId="1706" xr:uid="{00000000-0005-0000-0000-0000AA060000}"/>
    <cellStyle name="Normal 6 2" xfId="1707" xr:uid="{00000000-0005-0000-0000-0000AB060000}"/>
    <cellStyle name="Normal 60" xfId="1708" xr:uid="{00000000-0005-0000-0000-0000AC060000}"/>
    <cellStyle name="Normal 60 2" xfId="1709" xr:uid="{00000000-0005-0000-0000-0000AD060000}"/>
    <cellStyle name="Normal 61" xfId="1710" xr:uid="{00000000-0005-0000-0000-0000AE060000}"/>
    <cellStyle name="Normal 61 2" xfId="1711" xr:uid="{00000000-0005-0000-0000-0000AF060000}"/>
    <cellStyle name="Normal 62" xfId="1712" xr:uid="{00000000-0005-0000-0000-0000B0060000}"/>
    <cellStyle name="Normal 62 2" xfId="1713" xr:uid="{00000000-0005-0000-0000-0000B1060000}"/>
    <cellStyle name="Normal 63" xfId="1714" xr:uid="{00000000-0005-0000-0000-0000B2060000}"/>
    <cellStyle name="Normal 63 2" xfId="1715" xr:uid="{00000000-0005-0000-0000-0000B3060000}"/>
    <cellStyle name="Normal 64" xfId="1716" xr:uid="{00000000-0005-0000-0000-0000B4060000}"/>
    <cellStyle name="Normal 64 2" xfId="1717" xr:uid="{00000000-0005-0000-0000-0000B5060000}"/>
    <cellStyle name="Normal 65" xfId="1718" xr:uid="{00000000-0005-0000-0000-0000B6060000}"/>
    <cellStyle name="Normal 65 2" xfId="1719" xr:uid="{00000000-0005-0000-0000-0000B7060000}"/>
    <cellStyle name="Normal 66" xfId="1720" xr:uid="{00000000-0005-0000-0000-0000B8060000}"/>
    <cellStyle name="Normal 66 2" xfId="1721" xr:uid="{00000000-0005-0000-0000-0000B9060000}"/>
    <cellStyle name="Normal 67" xfId="1722" xr:uid="{00000000-0005-0000-0000-0000BA060000}"/>
    <cellStyle name="Normal 67 2" xfId="1723" xr:uid="{00000000-0005-0000-0000-0000BB060000}"/>
    <cellStyle name="Normal 68" xfId="1724" xr:uid="{00000000-0005-0000-0000-0000BC060000}"/>
    <cellStyle name="Normal 68 2" xfId="1725" xr:uid="{00000000-0005-0000-0000-0000BD060000}"/>
    <cellStyle name="Normal 69" xfId="1726" xr:uid="{00000000-0005-0000-0000-0000BE060000}"/>
    <cellStyle name="Normal 69 2" xfId="1727" xr:uid="{00000000-0005-0000-0000-0000BF060000}"/>
    <cellStyle name="Normal 7" xfId="1728" xr:uid="{00000000-0005-0000-0000-0000C0060000}"/>
    <cellStyle name="Normal 7 2" xfId="1729" xr:uid="{00000000-0005-0000-0000-0000C1060000}"/>
    <cellStyle name="Normal 70" xfId="1730" xr:uid="{00000000-0005-0000-0000-0000C2060000}"/>
    <cellStyle name="Normal 70 2" xfId="1731" xr:uid="{00000000-0005-0000-0000-0000C3060000}"/>
    <cellStyle name="Normal 71" xfId="1732" xr:uid="{00000000-0005-0000-0000-0000C4060000}"/>
    <cellStyle name="Normal 71 2" xfId="1733" xr:uid="{00000000-0005-0000-0000-0000C5060000}"/>
    <cellStyle name="Normal 72" xfId="1734" xr:uid="{00000000-0005-0000-0000-0000C6060000}"/>
    <cellStyle name="Normal 72 2" xfId="1735" xr:uid="{00000000-0005-0000-0000-0000C7060000}"/>
    <cellStyle name="Normal 73" xfId="1736" xr:uid="{00000000-0005-0000-0000-0000C8060000}"/>
    <cellStyle name="Normal 73 2" xfId="1737" xr:uid="{00000000-0005-0000-0000-0000C9060000}"/>
    <cellStyle name="Normal 74" xfId="1738" xr:uid="{00000000-0005-0000-0000-0000CA060000}"/>
    <cellStyle name="Normal 74 2" xfId="1739" xr:uid="{00000000-0005-0000-0000-0000CB060000}"/>
    <cellStyle name="Normal 75" xfId="1740" xr:uid="{00000000-0005-0000-0000-0000CC060000}"/>
    <cellStyle name="Normal 75 2" xfId="1741" xr:uid="{00000000-0005-0000-0000-0000CD060000}"/>
    <cellStyle name="Normal 76" xfId="1742" xr:uid="{00000000-0005-0000-0000-0000CE060000}"/>
    <cellStyle name="Normal 76 2" xfId="1743" xr:uid="{00000000-0005-0000-0000-0000CF060000}"/>
    <cellStyle name="Normal 77" xfId="1744" xr:uid="{00000000-0005-0000-0000-0000D0060000}"/>
    <cellStyle name="Normal 77 2" xfId="1745" xr:uid="{00000000-0005-0000-0000-0000D1060000}"/>
    <cellStyle name="Normal 78" xfId="1746" xr:uid="{00000000-0005-0000-0000-0000D2060000}"/>
    <cellStyle name="Normal 78 2" xfId="1747" xr:uid="{00000000-0005-0000-0000-0000D3060000}"/>
    <cellStyle name="Normal 79" xfId="1748" xr:uid="{00000000-0005-0000-0000-0000D4060000}"/>
    <cellStyle name="Normal 79 2" xfId="1749" xr:uid="{00000000-0005-0000-0000-0000D5060000}"/>
    <cellStyle name="Normal 8" xfId="1750" xr:uid="{00000000-0005-0000-0000-0000D6060000}"/>
    <cellStyle name="Normal 8 2" xfId="1751" xr:uid="{00000000-0005-0000-0000-0000D7060000}"/>
    <cellStyle name="Normal 80" xfId="1752" xr:uid="{00000000-0005-0000-0000-0000D8060000}"/>
    <cellStyle name="Normal 80 2" xfId="1753" xr:uid="{00000000-0005-0000-0000-0000D9060000}"/>
    <cellStyle name="Normal 81" xfId="1754" xr:uid="{00000000-0005-0000-0000-0000DA060000}"/>
    <cellStyle name="Normal 81 2" xfId="1755" xr:uid="{00000000-0005-0000-0000-0000DB060000}"/>
    <cellStyle name="Normal 82" xfId="1756" xr:uid="{00000000-0005-0000-0000-0000DC060000}"/>
    <cellStyle name="Normal 82 2" xfId="1757" xr:uid="{00000000-0005-0000-0000-0000DD060000}"/>
    <cellStyle name="Normal 83" xfId="1758" xr:uid="{00000000-0005-0000-0000-0000DE060000}"/>
    <cellStyle name="Normal 83 2" xfId="1759" xr:uid="{00000000-0005-0000-0000-0000DF060000}"/>
    <cellStyle name="Normal 84" xfId="1760" xr:uid="{00000000-0005-0000-0000-0000E0060000}"/>
    <cellStyle name="Normal 84 2" xfId="1761" xr:uid="{00000000-0005-0000-0000-0000E1060000}"/>
    <cellStyle name="Normal 85" xfId="1762" xr:uid="{00000000-0005-0000-0000-0000E2060000}"/>
    <cellStyle name="Normal 85 2" xfId="1763" xr:uid="{00000000-0005-0000-0000-0000E3060000}"/>
    <cellStyle name="Normal 86" xfId="1764" xr:uid="{00000000-0005-0000-0000-0000E4060000}"/>
    <cellStyle name="Normal 86 2" xfId="1765" xr:uid="{00000000-0005-0000-0000-0000E5060000}"/>
    <cellStyle name="Normal 87" xfId="1766" xr:uid="{00000000-0005-0000-0000-0000E6060000}"/>
    <cellStyle name="Normal 87 2" xfId="1767" xr:uid="{00000000-0005-0000-0000-0000E7060000}"/>
    <cellStyle name="Normal 88" xfId="1768" xr:uid="{00000000-0005-0000-0000-0000E8060000}"/>
    <cellStyle name="Normal 88 2" xfId="1769" xr:uid="{00000000-0005-0000-0000-0000E9060000}"/>
    <cellStyle name="Normal 89" xfId="1770" xr:uid="{00000000-0005-0000-0000-0000EA060000}"/>
    <cellStyle name="Normal 89 2" xfId="1771" xr:uid="{00000000-0005-0000-0000-0000EB060000}"/>
    <cellStyle name="Normal 9" xfId="1772" xr:uid="{00000000-0005-0000-0000-0000EC060000}"/>
    <cellStyle name="Normal 9 2" xfId="1773" xr:uid="{00000000-0005-0000-0000-0000ED060000}"/>
    <cellStyle name="Normal 90" xfId="1774" xr:uid="{00000000-0005-0000-0000-0000EE060000}"/>
    <cellStyle name="Normal 90 2" xfId="1775" xr:uid="{00000000-0005-0000-0000-0000EF060000}"/>
    <cellStyle name="Normal 91" xfId="1776" xr:uid="{00000000-0005-0000-0000-0000F0060000}"/>
    <cellStyle name="Normal 91 2" xfId="1777" xr:uid="{00000000-0005-0000-0000-0000F1060000}"/>
    <cellStyle name="Normal 92" xfId="1778" xr:uid="{00000000-0005-0000-0000-0000F2060000}"/>
    <cellStyle name="Normal 92 2" xfId="1779" xr:uid="{00000000-0005-0000-0000-0000F3060000}"/>
    <cellStyle name="Normal 93" xfId="1780" xr:uid="{00000000-0005-0000-0000-0000F4060000}"/>
    <cellStyle name="Normal 93 2" xfId="1781" xr:uid="{00000000-0005-0000-0000-0000F5060000}"/>
    <cellStyle name="Normal 94" xfId="1782" xr:uid="{00000000-0005-0000-0000-0000F6060000}"/>
    <cellStyle name="Normal 94 2" xfId="1783" xr:uid="{00000000-0005-0000-0000-0000F7060000}"/>
    <cellStyle name="Normal 95" xfId="1784" xr:uid="{00000000-0005-0000-0000-0000F8060000}"/>
    <cellStyle name="Normal 95 2" xfId="1785" xr:uid="{00000000-0005-0000-0000-0000F9060000}"/>
    <cellStyle name="Normal 96" xfId="1786" xr:uid="{00000000-0005-0000-0000-0000FA060000}"/>
    <cellStyle name="Normal 96 2" xfId="1787" xr:uid="{00000000-0005-0000-0000-0000FB060000}"/>
    <cellStyle name="Normal 97" xfId="1788" xr:uid="{00000000-0005-0000-0000-0000FC060000}"/>
    <cellStyle name="Normal 97 2" xfId="1789" xr:uid="{00000000-0005-0000-0000-0000FD060000}"/>
    <cellStyle name="Normal 98" xfId="1790" xr:uid="{00000000-0005-0000-0000-0000FE060000}"/>
    <cellStyle name="Normal 98 2" xfId="1791" xr:uid="{00000000-0005-0000-0000-0000FF060000}"/>
    <cellStyle name="Normal 99" xfId="1792" xr:uid="{00000000-0005-0000-0000-000000070000}"/>
    <cellStyle name="Normal 99 2" xfId="1793" xr:uid="{00000000-0005-0000-0000-000001070000}"/>
    <cellStyle name="Note 2" xfId="1794" xr:uid="{00000000-0005-0000-0000-000002070000}"/>
    <cellStyle name="Note 2 10" xfId="1795" xr:uid="{00000000-0005-0000-0000-000003070000}"/>
    <cellStyle name="Note 2 11" xfId="1796" xr:uid="{00000000-0005-0000-0000-000004070000}"/>
    <cellStyle name="Note 2 12" xfId="1797" xr:uid="{00000000-0005-0000-0000-000005070000}"/>
    <cellStyle name="Note 2 13" xfId="1798" xr:uid="{00000000-0005-0000-0000-000006070000}"/>
    <cellStyle name="Note 2 14" xfId="1799" xr:uid="{00000000-0005-0000-0000-000007070000}"/>
    <cellStyle name="Note 2 15" xfId="1800" xr:uid="{00000000-0005-0000-0000-000008070000}"/>
    <cellStyle name="Note 2 16" xfId="1801" xr:uid="{00000000-0005-0000-0000-000009070000}"/>
    <cellStyle name="Note 2 17" xfId="1802" xr:uid="{00000000-0005-0000-0000-00000A070000}"/>
    <cellStyle name="Note 2 18" xfId="1803" xr:uid="{00000000-0005-0000-0000-00000B070000}"/>
    <cellStyle name="Note 2 19" xfId="1804" xr:uid="{00000000-0005-0000-0000-00000C070000}"/>
    <cellStyle name="Note 2 2" xfId="1805" xr:uid="{00000000-0005-0000-0000-00000D070000}"/>
    <cellStyle name="Note 2 20" xfId="1806" xr:uid="{00000000-0005-0000-0000-00000E070000}"/>
    <cellStyle name="Note 2 21" xfId="1807" xr:uid="{00000000-0005-0000-0000-00000F070000}"/>
    <cellStyle name="Note 2 22" xfId="1808" xr:uid="{00000000-0005-0000-0000-000010070000}"/>
    <cellStyle name="Note 2 23" xfId="1809" xr:uid="{00000000-0005-0000-0000-000011070000}"/>
    <cellStyle name="Note 2 24" xfId="1810" xr:uid="{00000000-0005-0000-0000-000012070000}"/>
    <cellStyle name="Note 2 25" xfId="1811" xr:uid="{00000000-0005-0000-0000-000013070000}"/>
    <cellStyle name="Note 2 26" xfId="1812" xr:uid="{00000000-0005-0000-0000-000014070000}"/>
    <cellStyle name="Note 2 27" xfId="1813" xr:uid="{00000000-0005-0000-0000-000015070000}"/>
    <cellStyle name="Note 2 28" xfId="1814" xr:uid="{00000000-0005-0000-0000-000016070000}"/>
    <cellStyle name="Note 2 29" xfId="1815" xr:uid="{00000000-0005-0000-0000-000017070000}"/>
    <cellStyle name="Note 2 3" xfId="1816" xr:uid="{00000000-0005-0000-0000-000018070000}"/>
    <cellStyle name="Note 2 30" xfId="1817" xr:uid="{00000000-0005-0000-0000-000019070000}"/>
    <cellStyle name="Note 2 31" xfId="1818" xr:uid="{00000000-0005-0000-0000-00001A070000}"/>
    <cellStyle name="Note 2 32" xfId="1819" xr:uid="{00000000-0005-0000-0000-00001B070000}"/>
    <cellStyle name="Note 2 33" xfId="1820" xr:uid="{00000000-0005-0000-0000-00001C070000}"/>
    <cellStyle name="Note 2 34" xfId="1821" xr:uid="{00000000-0005-0000-0000-00001D070000}"/>
    <cellStyle name="Note 2 35" xfId="1822" xr:uid="{00000000-0005-0000-0000-00001E070000}"/>
    <cellStyle name="Note 2 36" xfId="1823" xr:uid="{00000000-0005-0000-0000-00001F070000}"/>
    <cellStyle name="Note 2 37" xfId="1824" xr:uid="{00000000-0005-0000-0000-000020070000}"/>
    <cellStyle name="Note 2 38" xfId="1825" xr:uid="{00000000-0005-0000-0000-000021070000}"/>
    <cellStyle name="Note 2 39" xfId="1826" xr:uid="{00000000-0005-0000-0000-000022070000}"/>
    <cellStyle name="Note 2 4" xfId="1827" xr:uid="{00000000-0005-0000-0000-000023070000}"/>
    <cellStyle name="Note 2 40" xfId="1828" xr:uid="{00000000-0005-0000-0000-000024070000}"/>
    <cellStyle name="Note 2 41" xfId="1829" xr:uid="{00000000-0005-0000-0000-000025070000}"/>
    <cellStyle name="Note 2 42" xfId="1830" xr:uid="{00000000-0005-0000-0000-000026070000}"/>
    <cellStyle name="Note 2 43" xfId="1831" xr:uid="{00000000-0005-0000-0000-000027070000}"/>
    <cellStyle name="Note 2 44" xfId="1832" xr:uid="{00000000-0005-0000-0000-000028070000}"/>
    <cellStyle name="Note 2 45" xfId="1833" xr:uid="{00000000-0005-0000-0000-000029070000}"/>
    <cellStyle name="Note 2 46" xfId="1834" xr:uid="{00000000-0005-0000-0000-00002A070000}"/>
    <cellStyle name="Note 2 47" xfId="1835" xr:uid="{00000000-0005-0000-0000-00002B070000}"/>
    <cellStyle name="Note 2 48" xfId="1836" xr:uid="{00000000-0005-0000-0000-00002C070000}"/>
    <cellStyle name="Note 2 49" xfId="1837" xr:uid="{00000000-0005-0000-0000-00002D070000}"/>
    <cellStyle name="Note 2 5" xfId="1838" xr:uid="{00000000-0005-0000-0000-00002E070000}"/>
    <cellStyle name="Note 2 6" xfId="1839" xr:uid="{00000000-0005-0000-0000-00002F070000}"/>
    <cellStyle name="Note 2 7" xfId="1840" xr:uid="{00000000-0005-0000-0000-000030070000}"/>
    <cellStyle name="Note 2 8" xfId="1841" xr:uid="{00000000-0005-0000-0000-000031070000}"/>
    <cellStyle name="Note 2 9" xfId="1842" xr:uid="{00000000-0005-0000-0000-000032070000}"/>
    <cellStyle name="Output 2" xfId="1843" xr:uid="{00000000-0005-0000-0000-000033070000}"/>
    <cellStyle name="Output 2 10" xfId="1844" xr:uid="{00000000-0005-0000-0000-000034070000}"/>
    <cellStyle name="Output 2 11" xfId="1845" xr:uid="{00000000-0005-0000-0000-000035070000}"/>
    <cellStyle name="Output 2 12" xfId="1846" xr:uid="{00000000-0005-0000-0000-000036070000}"/>
    <cellStyle name="Output 2 13" xfId="1847" xr:uid="{00000000-0005-0000-0000-000037070000}"/>
    <cellStyle name="Output 2 14" xfId="1848" xr:uid="{00000000-0005-0000-0000-000038070000}"/>
    <cellStyle name="Output 2 15" xfId="1849" xr:uid="{00000000-0005-0000-0000-000039070000}"/>
    <cellStyle name="Output 2 16" xfId="1850" xr:uid="{00000000-0005-0000-0000-00003A070000}"/>
    <cellStyle name="Output 2 17" xfId="1851" xr:uid="{00000000-0005-0000-0000-00003B070000}"/>
    <cellStyle name="Output 2 18" xfId="1852" xr:uid="{00000000-0005-0000-0000-00003C070000}"/>
    <cellStyle name="Output 2 19" xfId="1853" xr:uid="{00000000-0005-0000-0000-00003D070000}"/>
    <cellStyle name="Output 2 2" xfId="1854" xr:uid="{00000000-0005-0000-0000-00003E070000}"/>
    <cellStyle name="Output 2 20" xfId="1855" xr:uid="{00000000-0005-0000-0000-00003F070000}"/>
    <cellStyle name="Output 2 21" xfId="1856" xr:uid="{00000000-0005-0000-0000-000040070000}"/>
    <cellStyle name="Output 2 22" xfId="1857" xr:uid="{00000000-0005-0000-0000-000041070000}"/>
    <cellStyle name="Output 2 23" xfId="1858" xr:uid="{00000000-0005-0000-0000-000042070000}"/>
    <cellStyle name="Output 2 24" xfId="1859" xr:uid="{00000000-0005-0000-0000-000043070000}"/>
    <cellStyle name="Output 2 25" xfId="1860" xr:uid="{00000000-0005-0000-0000-000044070000}"/>
    <cellStyle name="Output 2 26" xfId="1861" xr:uid="{00000000-0005-0000-0000-000045070000}"/>
    <cellStyle name="Output 2 27" xfId="1862" xr:uid="{00000000-0005-0000-0000-000046070000}"/>
    <cellStyle name="Output 2 28" xfId="1863" xr:uid="{00000000-0005-0000-0000-000047070000}"/>
    <cellStyle name="Output 2 29" xfId="1864" xr:uid="{00000000-0005-0000-0000-000048070000}"/>
    <cellStyle name="Output 2 3" xfId="1865" xr:uid="{00000000-0005-0000-0000-000049070000}"/>
    <cellStyle name="Output 2 30" xfId="1866" xr:uid="{00000000-0005-0000-0000-00004A070000}"/>
    <cellStyle name="Output 2 31" xfId="1867" xr:uid="{00000000-0005-0000-0000-00004B070000}"/>
    <cellStyle name="Output 2 32" xfId="1868" xr:uid="{00000000-0005-0000-0000-00004C070000}"/>
    <cellStyle name="Output 2 33" xfId="1869" xr:uid="{00000000-0005-0000-0000-00004D070000}"/>
    <cellStyle name="Output 2 34" xfId="1870" xr:uid="{00000000-0005-0000-0000-00004E070000}"/>
    <cellStyle name="Output 2 35" xfId="1871" xr:uid="{00000000-0005-0000-0000-00004F070000}"/>
    <cellStyle name="Output 2 36" xfId="1872" xr:uid="{00000000-0005-0000-0000-000050070000}"/>
    <cellStyle name="Output 2 37" xfId="1873" xr:uid="{00000000-0005-0000-0000-000051070000}"/>
    <cellStyle name="Output 2 38" xfId="1874" xr:uid="{00000000-0005-0000-0000-000052070000}"/>
    <cellStyle name="Output 2 39" xfId="1875" xr:uid="{00000000-0005-0000-0000-000053070000}"/>
    <cellStyle name="Output 2 4" xfId="1876" xr:uid="{00000000-0005-0000-0000-000054070000}"/>
    <cellStyle name="Output 2 40" xfId="1877" xr:uid="{00000000-0005-0000-0000-000055070000}"/>
    <cellStyle name="Output 2 41" xfId="1878" xr:uid="{00000000-0005-0000-0000-000056070000}"/>
    <cellStyle name="Output 2 42" xfId="1879" xr:uid="{00000000-0005-0000-0000-000057070000}"/>
    <cellStyle name="Output 2 43" xfId="1880" xr:uid="{00000000-0005-0000-0000-000058070000}"/>
    <cellStyle name="Output 2 44" xfId="1881" xr:uid="{00000000-0005-0000-0000-000059070000}"/>
    <cellStyle name="Output 2 45" xfId="1882" xr:uid="{00000000-0005-0000-0000-00005A070000}"/>
    <cellStyle name="Output 2 46" xfId="1883" xr:uid="{00000000-0005-0000-0000-00005B070000}"/>
    <cellStyle name="Output 2 47" xfId="1884" xr:uid="{00000000-0005-0000-0000-00005C070000}"/>
    <cellStyle name="Output 2 48" xfId="1885" xr:uid="{00000000-0005-0000-0000-00005D070000}"/>
    <cellStyle name="Output 2 49" xfId="1886" xr:uid="{00000000-0005-0000-0000-00005E070000}"/>
    <cellStyle name="Output 2 5" xfId="1887" xr:uid="{00000000-0005-0000-0000-00005F070000}"/>
    <cellStyle name="Output 2 6" xfId="1888" xr:uid="{00000000-0005-0000-0000-000060070000}"/>
    <cellStyle name="Output 2 7" xfId="1889" xr:uid="{00000000-0005-0000-0000-000061070000}"/>
    <cellStyle name="Output 2 8" xfId="1890" xr:uid="{00000000-0005-0000-0000-000062070000}"/>
    <cellStyle name="Output 2 9" xfId="1891" xr:uid="{00000000-0005-0000-0000-000063070000}"/>
    <cellStyle name="Standard_2006-UK" xfId="1892" xr:uid="{00000000-0005-0000-0000-000064070000}"/>
    <cellStyle name="Title 2" xfId="1893" xr:uid="{00000000-0005-0000-0000-000065070000}"/>
    <cellStyle name="Title 2 10" xfId="1894" xr:uid="{00000000-0005-0000-0000-000066070000}"/>
    <cellStyle name="Title 2 11" xfId="1895" xr:uid="{00000000-0005-0000-0000-000067070000}"/>
    <cellStyle name="Title 2 12" xfId="1896" xr:uid="{00000000-0005-0000-0000-000068070000}"/>
    <cellStyle name="Title 2 13" xfId="1897" xr:uid="{00000000-0005-0000-0000-000069070000}"/>
    <cellStyle name="Title 2 14" xfId="1898" xr:uid="{00000000-0005-0000-0000-00006A070000}"/>
    <cellStyle name="Title 2 15" xfId="1899" xr:uid="{00000000-0005-0000-0000-00006B070000}"/>
    <cellStyle name="Title 2 16" xfId="1900" xr:uid="{00000000-0005-0000-0000-00006C070000}"/>
    <cellStyle name="Title 2 17" xfId="1901" xr:uid="{00000000-0005-0000-0000-00006D070000}"/>
    <cellStyle name="Title 2 18" xfId="1902" xr:uid="{00000000-0005-0000-0000-00006E070000}"/>
    <cellStyle name="Title 2 19" xfId="1903" xr:uid="{00000000-0005-0000-0000-00006F070000}"/>
    <cellStyle name="Title 2 2" xfId="1904" xr:uid="{00000000-0005-0000-0000-000070070000}"/>
    <cellStyle name="Title 2 20" xfId="1905" xr:uid="{00000000-0005-0000-0000-000071070000}"/>
    <cellStyle name="Title 2 21" xfId="1906" xr:uid="{00000000-0005-0000-0000-000072070000}"/>
    <cellStyle name="Title 2 22" xfId="1907" xr:uid="{00000000-0005-0000-0000-000073070000}"/>
    <cellStyle name="Title 2 23" xfId="1908" xr:uid="{00000000-0005-0000-0000-000074070000}"/>
    <cellStyle name="Title 2 24" xfId="1909" xr:uid="{00000000-0005-0000-0000-000075070000}"/>
    <cellStyle name="Title 2 25" xfId="1910" xr:uid="{00000000-0005-0000-0000-000076070000}"/>
    <cellStyle name="Title 2 26" xfId="1911" xr:uid="{00000000-0005-0000-0000-000077070000}"/>
    <cellStyle name="Title 2 27" xfId="1912" xr:uid="{00000000-0005-0000-0000-000078070000}"/>
    <cellStyle name="Title 2 28" xfId="1913" xr:uid="{00000000-0005-0000-0000-000079070000}"/>
    <cellStyle name="Title 2 29" xfId="1914" xr:uid="{00000000-0005-0000-0000-00007A070000}"/>
    <cellStyle name="Title 2 3" xfId="1915" xr:uid="{00000000-0005-0000-0000-00007B070000}"/>
    <cellStyle name="Title 2 30" xfId="1916" xr:uid="{00000000-0005-0000-0000-00007C070000}"/>
    <cellStyle name="Title 2 31" xfId="1917" xr:uid="{00000000-0005-0000-0000-00007D070000}"/>
    <cellStyle name="Title 2 32" xfId="1918" xr:uid="{00000000-0005-0000-0000-00007E070000}"/>
    <cellStyle name="Title 2 33" xfId="1919" xr:uid="{00000000-0005-0000-0000-00007F070000}"/>
    <cellStyle name="Title 2 34" xfId="1920" xr:uid="{00000000-0005-0000-0000-000080070000}"/>
    <cellStyle name="Title 2 35" xfId="1921" xr:uid="{00000000-0005-0000-0000-000081070000}"/>
    <cellStyle name="Title 2 36" xfId="1922" xr:uid="{00000000-0005-0000-0000-000082070000}"/>
    <cellStyle name="Title 2 37" xfId="1923" xr:uid="{00000000-0005-0000-0000-000083070000}"/>
    <cellStyle name="Title 2 38" xfId="1924" xr:uid="{00000000-0005-0000-0000-000084070000}"/>
    <cellStyle name="Title 2 39" xfId="1925" xr:uid="{00000000-0005-0000-0000-000085070000}"/>
    <cellStyle name="Title 2 4" xfId="1926" xr:uid="{00000000-0005-0000-0000-000086070000}"/>
    <cellStyle name="Title 2 40" xfId="1927" xr:uid="{00000000-0005-0000-0000-000087070000}"/>
    <cellStyle name="Title 2 41" xfId="1928" xr:uid="{00000000-0005-0000-0000-000088070000}"/>
    <cellStyle name="Title 2 42" xfId="1929" xr:uid="{00000000-0005-0000-0000-000089070000}"/>
    <cellStyle name="Title 2 43" xfId="1930" xr:uid="{00000000-0005-0000-0000-00008A070000}"/>
    <cellStyle name="Title 2 44" xfId="1931" xr:uid="{00000000-0005-0000-0000-00008B070000}"/>
    <cellStyle name="Title 2 45" xfId="1932" xr:uid="{00000000-0005-0000-0000-00008C070000}"/>
    <cellStyle name="Title 2 46" xfId="1933" xr:uid="{00000000-0005-0000-0000-00008D070000}"/>
    <cellStyle name="Title 2 47" xfId="1934" xr:uid="{00000000-0005-0000-0000-00008E070000}"/>
    <cellStyle name="Title 2 48" xfId="1935" xr:uid="{00000000-0005-0000-0000-00008F070000}"/>
    <cellStyle name="Title 2 49" xfId="1936" xr:uid="{00000000-0005-0000-0000-000090070000}"/>
    <cellStyle name="Title 2 49 2" xfId="1937" xr:uid="{00000000-0005-0000-0000-000091070000}"/>
    <cellStyle name="Title 2 5" xfId="1938" xr:uid="{00000000-0005-0000-0000-000092070000}"/>
    <cellStyle name="Title 2 50" xfId="1939" xr:uid="{00000000-0005-0000-0000-000093070000}"/>
    <cellStyle name="Title 2 50 2" xfId="1940" xr:uid="{00000000-0005-0000-0000-000094070000}"/>
    <cellStyle name="Title 2 6" xfId="1941" xr:uid="{00000000-0005-0000-0000-000095070000}"/>
    <cellStyle name="Title 2 7" xfId="1942" xr:uid="{00000000-0005-0000-0000-000096070000}"/>
    <cellStyle name="Title 2 8" xfId="1943" xr:uid="{00000000-0005-0000-0000-000097070000}"/>
    <cellStyle name="Title 2 9" xfId="1944" xr:uid="{00000000-0005-0000-0000-000098070000}"/>
    <cellStyle name="Total 2" xfId="1945" xr:uid="{00000000-0005-0000-0000-000099070000}"/>
    <cellStyle name="Total 2 10" xfId="1946" xr:uid="{00000000-0005-0000-0000-00009A070000}"/>
    <cellStyle name="Total 2 11" xfId="1947" xr:uid="{00000000-0005-0000-0000-00009B070000}"/>
    <cellStyle name="Total 2 12" xfId="1948" xr:uid="{00000000-0005-0000-0000-00009C070000}"/>
    <cellStyle name="Total 2 13" xfId="1949" xr:uid="{00000000-0005-0000-0000-00009D070000}"/>
    <cellStyle name="Total 2 14" xfId="1950" xr:uid="{00000000-0005-0000-0000-00009E070000}"/>
    <cellStyle name="Total 2 15" xfId="1951" xr:uid="{00000000-0005-0000-0000-00009F070000}"/>
    <cellStyle name="Total 2 16" xfId="1952" xr:uid="{00000000-0005-0000-0000-0000A0070000}"/>
    <cellStyle name="Total 2 17" xfId="1953" xr:uid="{00000000-0005-0000-0000-0000A1070000}"/>
    <cellStyle name="Total 2 18" xfId="1954" xr:uid="{00000000-0005-0000-0000-0000A2070000}"/>
    <cellStyle name="Total 2 19" xfId="1955" xr:uid="{00000000-0005-0000-0000-0000A3070000}"/>
    <cellStyle name="Total 2 2" xfId="1956" xr:uid="{00000000-0005-0000-0000-0000A4070000}"/>
    <cellStyle name="Total 2 20" xfId="1957" xr:uid="{00000000-0005-0000-0000-0000A5070000}"/>
    <cellStyle name="Total 2 21" xfId="1958" xr:uid="{00000000-0005-0000-0000-0000A6070000}"/>
    <cellStyle name="Total 2 22" xfId="1959" xr:uid="{00000000-0005-0000-0000-0000A7070000}"/>
    <cellStyle name="Total 2 23" xfId="1960" xr:uid="{00000000-0005-0000-0000-0000A8070000}"/>
    <cellStyle name="Total 2 24" xfId="1961" xr:uid="{00000000-0005-0000-0000-0000A9070000}"/>
    <cellStyle name="Total 2 25" xfId="1962" xr:uid="{00000000-0005-0000-0000-0000AA070000}"/>
    <cellStyle name="Total 2 26" xfId="1963" xr:uid="{00000000-0005-0000-0000-0000AB070000}"/>
    <cellStyle name="Total 2 27" xfId="1964" xr:uid="{00000000-0005-0000-0000-0000AC070000}"/>
    <cellStyle name="Total 2 28" xfId="1965" xr:uid="{00000000-0005-0000-0000-0000AD070000}"/>
    <cellStyle name="Total 2 29" xfId="1966" xr:uid="{00000000-0005-0000-0000-0000AE070000}"/>
    <cellStyle name="Total 2 3" xfId="1967" xr:uid="{00000000-0005-0000-0000-0000AF070000}"/>
    <cellStyle name="Total 2 30" xfId="1968" xr:uid="{00000000-0005-0000-0000-0000B0070000}"/>
    <cellStyle name="Total 2 31" xfId="1969" xr:uid="{00000000-0005-0000-0000-0000B1070000}"/>
    <cellStyle name="Total 2 32" xfId="1970" xr:uid="{00000000-0005-0000-0000-0000B2070000}"/>
    <cellStyle name="Total 2 33" xfId="1971" xr:uid="{00000000-0005-0000-0000-0000B3070000}"/>
    <cellStyle name="Total 2 34" xfId="1972" xr:uid="{00000000-0005-0000-0000-0000B4070000}"/>
    <cellStyle name="Total 2 35" xfId="1973" xr:uid="{00000000-0005-0000-0000-0000B5070000}"/>
    <cellStyle name="Total 2 36" xfId="1974" xr:uid="{00000000-0005-0000-0000-0000B6070000}"/>
    <cellStyle name="Total 2 37" xfId="1975" xr:uid="{00000000-0005-0000-0000-0000B7070000}"/>
    <cellStyle name="Total 2 38" xfId="1976" xr:uid="{00000000-0005-0000-0000-0000B8070000}"/>
    <cellStyle name="Total 2 39" xfId="1977" xr:uid="{00000000-0005-0000-0000-0000B9070000}"/>
    <cellStyle name="Total 2 4" xfId="1978" xr:uid="{00000000-0005-0000-0000-0000BA070000}"/>
    <cellStyle name="Total 2 40" xfId="1979" xr:uid="{00000000-0005-0000-0000-0000BB070000}"/>
    <cellStyle name="Total 2 41" xfId="1980" xr:uid="{00000000-0005-0000-0000-0000BC070000}"/>
    <cellStyle name="Total 2 42" xfId="1981" xr:uid="{00000000-0005-0000-0000-0000BD070000}"/>
    <cellStyle name="Total 2 43" xfId="1982" xr:uid="{00000000-0005-0000-0000-0000BE070000}"/>
    <cellStyle name="Total 2 44" xfId="1983" xr:uid="{00000000-0005-0000-0000-0000BF070000}"/>
    <cellStyle name="Total 2 45" xfId="1984" xr:uid="{00000000-0005-0000-0000-0000C0070000}"/>
    <cellStyle name="Total 2 46" xfId="1985" xr:uid="{00000000-0005-0000-0000-0000C1070000}"/>
    <cellStyle name="Total 2 47" xfId="1986" xr:uid="{00000000-0005-0000-0000-0000C2070000}"/>
    <cellStyle name="Total 2 48" xfId="1987" xr:uid="{00000000-0005-0000-0000-0000C3070000}"/>
    <cellStyle name="Total 2 49" xfId="1988" xr:uid="{00000000-0005-0000-0000-0000C4070000}"/>
    <cellStyle name="Total 2 5" xfId="1989" xr:uid="{00000000-0005-0000-0000-0000C5070000}"/>
    <cellStyle name="Total 2 6" xfId="1990" xr:uid="{00000000-0005-0000-0000-0000C6070000}"/>
    <cellStyle name="Total 2 7" xfId="1991" xr:uid="{00000000-0005-0000-0000-0000C7070000}"/>
    <cellStyle name="Total 2 8" xfId="1992" xr:uid="{00000000-0005-0000-0000-0000C8070000}"/>
    <cellStyle name="Total 2 9" xfId="1993" xr:uid="{00000000-0005-0000-0000-0000C9070000}"/>
    <cellStyle name="Warning Text" xfId="1994" builtinId="11" customBuiltin="1"/>
  </cellStyles>
  <dxfs count="7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Y:\sdmt\RLDLwork\herbage\tim_c\timcy1.xlsx" TargetMode="External"/><Relationship Id="rId1" Type="http://schemas.openxmlformats.org/officeDocument/2006/relationships/externalLinkPath" Target="file:///Y:\sdmt\RLDLwork\herbage\tim_c\timcy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mt\RLDLwork\2009\herbage\irg_hrg\irgy2d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M1P1"/>
      <sheetName val="M1P2"/>
      <sheetName val="M2P1"/>
      <sheetName val="M2P2"/>
      <sheetName val="M3P1"/>
      <sheetName val="M3P2"/>
      <sheetName val="M4P1"/>
      <sheetName val="M4P2"/>
      <sheetName val="M5P1"/>
      <sheetName val="M5P2"/>
      <sheetName val="M6P1"/>
      <sheetName val="M6P2"/>
      <sheetName val="M7P1"/>
      <sheetName val="M7P2"/>
      <sheetName val="M8P1"/>
      <sheetName val="M8P2"/>
    </sheetNames>
    <sheetDataSet>
      <sheetData sheetId="0">
        <row r="1">
          <cell r="A1" t="str">
            <v xml:space="preserve">                                                                                         JOB RUN :- 30-NOV-23 AT 15:49:39</v>
          </cell>
        </row>
        <row r="2">
          <cell r="A2" t="str">
            <v>TIMOTHY RL 2024/2025 - UK TRIALS</v>
          </cell>
        </row>
        <row r="4">
          <cell r="A4" t="str">
            <v>CONSERVATION MANAGEMENT - ALL 1ST HARVEST YEAR 2015-2022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1P1"/>
      <sheetName val="M1P2"/>
      <sheetName val="M1P3"/>
      <sheetName val="M1P4"/>
      <sheetName val="M1P5"/>
      <sheetName val="M2P1"/>
      <sheetName val="M2P2"/>
      <sheetName val="M2P3"/>
      <sheetName val="M2P4"/>
      <sheetName val="M2P5"/>
      <sheetName val="Summar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63">
          <cell r="I63">
            <v>7.1369999999999996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0">
    <pageSetUpPr fitToPage="1"/>
  </sheetPr>
  <dimension ref="A1:BO43"/>
  <sheetViews>
    <sheetView tabSelected="1" zoomScale="115" zoomScaleNormal="115" workbookViewId="0">
      <pane xSplit="7" ySplit="9" topLeftCell="H10" activePane="bottomRight" state="frozen"/>
      <selection pane="topRight" activeCell="H1" sqref="H1"/>
      <selection pane="bottomLeft" activeCell="A10" sqref="A10"/>
      <selection pane="bottomRight" activeCell="H38" sqref="H38:H39"/>
    </sheetView>
  </sheetViews>
  <sheetFormatPr defaultColWidth="9.08984375" defaultRowHeight="12.5" x14ac:dyDescent="0.25"/>
  <cols>
    <col min="1" max="1" width="45.6328125" customWidth="1"/>
    <col min="2" max="2" width="10.6328125" style="43" customWidth="1"/>
    <col min="3" max="3" width="9.26953125" style="43" customWidth="1"/>
    <col min="4" max="4" width="13" style="43" bestFit="1" customWidth="1"/>
    <col min="5" max="5" width="13.6328125" style="43" customWidth="1"/>
    <col min="6" max="6" width="11.7265625" style="43" customWidth="1"/>
    <col min="7" max="7" width="9.26953125" style="43" customWidth="1"/>
    <col min="8" max="8" width="12.08984375" style="605" customWidth="1"/>
    <col min="9" max="9" width="10.26953125" style="605" customWidth="1"/>
    <col min="10" max="10" width="12.1796875" style="43" customWidth="1"/>
    <col min="11" max="13" width="9.08984375" style="259"/>
    <col min="14" max="22" width="9.08984375" style="22"/>
  </cols>
  <sheetData>
    <row r="1" spans="1:67" ht="14.5" thickBot="1" x14ac:dyDescent="0.35">
      <c r="A1" s="19" t="s">
        <v>330</v>
      </c>
      <c r="B1" s="45"/>
      <c r="C1" s="45"/>
      <c r="D1" s="2"/>
      <c r="E1" s="2"/>
      <c r="F1" s="2"/>
      <c r="G1" s="45"/>
      <c r="H1" s="609"/>
      <c r="I1" s="609"/>
      <c r="J1" s="266"/>
      <c r="K1" s="258"/>
    </row>
    <row r="2" spans="1:67" ht="15.65" customHeight="1" thickBot="1" x14ac:dyDescent="0.35">
      <c r="A2" s="71"/>
      <c r="B2" s="72"/>
      <c r="C2" s="73"/>
      <c r="D2" s="1219" t="s">
        <v>16</v>
      </c>
      <c r="E2" s="1219"/>
      <c r="F2" s="1219"/>
      <c r="G2" s="73"/>
      <c r="H2" s="1220" t="s">
        <v>17</v>
      </c>
      <c r="I2" s="1220"/>
      <c r="J2" s="1221"/>
    </row>
    <row r="3" spans="1:67" ht="109.5" customHeight="1" x14ac:dyDescent="0.25">
      <c r="A3" s="74"/>
      <c r="B3" s="75" t="s">
        <v>87</v>
      </c>
      <c r="C3" s="27" t="s">
        <v>331</v>
      </c>
      <c r="D3" s="316" t="s">
        <v>42</v>
      </c>
      <c r="E3" s="317" t="s">
        <v>43</v>
      </c>
      <c r="F3" s="316" t="s">
        <v>66</v>
      </c>
      <c r="G3" s="27" t="s">
        <v>365</v>
      </c>
      <c r="H3" s="317" t="s">
        <v>112</v>
      </c>
      <c r="I3" s="317" t="s">
        <v>113</v>
      </c>
      <c r="J3" s="314" t="s">
        <v>156</v>
      </c>
      <c r="N3" s="259"/>
      <c r="O3" s="259"/>
      <c r="P3" s="259"/>
      <c r="Q3" s="259"/>
      <c r="R3" s="259"/>
      <c r="S3" s="259"/>
      <c r="T3" s="259"/>
      <c r="U3" s="259"/>
    </row>
    <row r="4" spans="1:67" ht="17.25" customHeight="1" x14ac:dyDescent="0.25">
      <c r="A4" s="20" t="s">
        <v>269</v>
      </c>
      <c r="B4" s="814"/>
      <c r="C4" s="814"/>
      <c r="D4" s="278" t="s">
        <v>1</v>
      </c>
      <c r="E4" s="278" t="s">
        <v>1</v>
      </c>
      <c r="F4" s="352" t="s">
        <v>1</v>
      </c>
      <c r="G4" s="814"/>
      <c r="H4" s="278" t="s">
        <v>1</v>
      </c>
      <c r="I4" s="278" t="s">
        <v>1</v>
      </c>
      <c r="J4" s="384" t="s">
        <v>3</v>
      </c>
      <c r="N4" s="259"/>
      <c r="O4" s="259"/>
      <c r="P4" s="259"/>
      <c r="Q4" s="259"/>
      <c r="R4" s="259"/>
      <c r="S4" s="259"/>
      <c r="T4" s="259"/>
      <c r="U4" s="259"/>
    </row>
    <row r="5" spans="1:67" ht="17.25" customHeight="1" x14ac:dyDescent="0.3">
      <c r="A5" s="26" t="s">
        <v>7</v>
      </c>
      <c r="B5" s="976"/>
      <c r="C5" s="976"/>
      <c r="D5" s="1184">
        <v>132.67099999999999</v>
      </c>
      <c r="E5" s="1184">
        <v>135.16500000000002</v>
      </c>
      <c r="F5" s="1184">
        <v>138.501</v>
      </c>
      <c r="G5" s="976"/>
      <c r="H5" s="1184">
        <v>132.40199999999999</v>
      </c>
      <c r="I5" s="1184">
        <v>138.62799999999999</v>
      </c>
      <c r="J5" s="1184">
        <v>141.86199999999999</v>
      </c>
      <c r="N5" s="259"/>
      <c r="O5" s="259"/>
      <c r="P5" s="259"/>
      <c r="Q5" s="259"/>
      <c r="R5" s="259"/>
      <c r="S5" s="259"/>
      <c r="T5" s="259"/>
      <c r="U5" s="259"/>
    </row>
    <row r="6" spans="1:67" s="13" customFormat="1" ht="16.5" customHeight="1" x14ac:dyDescent="0.25">
      <c r="A6" s="108" t="s">
        <v>9</v>
      </c>
      <c r="B6" s="796"/>
      <c r="C6" s="796"/>
      <c r="D6" s="973"/>
      <c r="E6" s="974"/>
      <c r="F6" s="966"/>
      <c r="G6" s="796"/>
      <c r="H6" s="967"/>
      <c r="I6" s="967"/>
      <c r="J6" s="968"/>
      <c r="K6" s="260"/>
      <c r="L6" s="260"/>
      <c r="M6" s="259"/>
      <c r="N6" s="259"/>
      <c r="O6" s="259"/>
      <c r="P6" s="260"/>
      <c r="Q6" s="260"/>
      <c r="R6" s="260"/>
      <c r="S6" s="260"/>
      <c r="T6" s="260"/>
      <c r="U6" s="260"/>
      <c r="V6" s="107"/>
    </row>
    <row r="7" spans="1:67" s="13" customFormat="1" ht="16.5" customHeight="1" x14ac:dyDescent="0.25">
      <c r="A7" s="284" t="s">
        <v>241</v>
      </c>
      <c r="B7" s="184">
        <v>100</v>
      </c>
      <c r="C7" s="54">
        <v>96.656035091040678</v>
      </c>
      <c r="D7" s="185">
        <v>95.783267006018775</v>
      </c>
      <c r="E7" s="185">
        <v>96.83531933497315</v>
      </c>
      <c r="F7" s="241">
        <v>97.34951893213011</v>
      </c>
      <c r="G7" s="54">
        <v>93.955869680342104</v>
      </c>
      <c r="H7" s="545">
        <v>93.955869680342104</v>
      </c>
      <c r="I7" s="505">
        <v>94.823600725094423</v>
      </c>
      <c r="J7" s="441">
        <v>95.829830875784495</v>
      </c>
      <c r="K7" s="261"/>
      <c r="L7" s="260"/>
      <c r="M7" s="259"/>
      <c r="N7" s="259"/>
      <c r="O7" s="259"/>
      <c r="P7" s="260"/>
      <c r="Q7" s="260"/>
      <c r="R7" s="260"/>
      <c r="S7" s="260"/>
      <c r="T7" s="260"/>
      <c r="U7" s="260"/>
      <c r="V7" s="107"/>
    </row>
    <row r="8" spans="1:67" s="13" customFormat="1" ht="16.5" customHeight="1" x14ac:dyDescent="0.25">
      <c r="A8" s="513" t="s">
        <v>264</v>
      </c>
      <c r="B8" s="187">
        <f>65+11.74125523</f>
        <v>76.741255230000007</v>
      </c>
      <c r="C8" s="61">
        <f>65+10.8475227240885</f>
        <v>75.847522724088506</v>
      </c>
      <c r="D8" s="188">
        <f>65+10.5174869049589</f>
        <v>75.517486904958901</v>
      </c>
      <c r="E8" s="188">
        <f>65+10.4440493080135</f>
        <v>75.444049308013504</v>
      </c>
      <c r="F8" s="189">
        <f>65+11.5810319592932</f>
        <v>76.581031959293199</v>
      </c>
      <c r="G8" s="61">
        <f>65+11.3859087706547</f>
        <v>76.385908770654694</v>
      </c>
      <c r="H8" s="920">
        <f>65+11.3859087706547</f>
        <v>76.385908770654694</v>
      </c>
      <c r="I8" s="321">
        <f>65+12.3682509496123</f>
        <v>77.368250949612303</v>
      </c>
      <c r="J8" s="442">
        <f>65+10.8982783010113</f>
        <v>75.898278301011302</v>
      </c>
      <c r="K8" s="261"/>
      <c r="L8" s="260"/>
      <c r="M8" s="259"/>
      <c r="N8" s="259"/>
      <c r="O8" s="259"/>
      <c r="P8" s="260"/>
      <c r="Q8" s="260"/>
      <c r="R8" s="260"/>
      <c r="S8" s="260"/>
      <c r="T8" s="260"/>
      <c r="U8" s="260"/>
      <c r="V8" s="107"/>
    </row>
    <row r="9" spans="1:67" s="13" customFormat="1" ht="16.5" customHeight="1" x14ac:dyDescent="0.25">
      <c r="A9" s="287" t="s">
        <v>335</v>
      </c>
      <c r="B9" s="133">
        <v>100</v>
      </c>
      <c r="C9" s="133">
        <v>95.779423872677384</v>
      </c>
      <c r="D9" s="102">
        <v>94.567788676533439</v>
      </c>
      <c r="E9" s="102">
        <v>95.538783616501973</v>
      </c>
      <c r="F9" s="134">
        <v>97.23169932499674</v>
      </c>
      <c r="G9" s="133">
        <v>93.579682901014934</v>
      </c>
      <c r="H9" s="539">
        <v>93.579682901014934</v>
      </c>
      <c r="I9" s="322">
        <v>95.530896127333023</v>
      </c>
      <c r="J9" s="443">
        <v>95.060399317000545</v>
      </c>
      <c r="K9" s="261"/>
      <c r="L9" s="260"/>
      <c r="M9" s="259"/>
      <c r="N9" s="259"/>
      <c r="O9" s="259"/>
      <c r="P9" s="260"/>
      <c r="Q9" s="260"/>
      <c r="R9" s="260"/>
      <c r="S9" s="260"/>
      <c r="T9" s="260"/>
      <c r="U9" s="260"/>
      <c r="V9" s="107"/>
    </row>
    <row r="10" spans="1:67" s="13" customFormat="1" ht="16.5" customHeight="1" x14ac:dyDescent="0.25">
      <c r="A10" s="286" t="s">
        <v>323</v>
      </c>
      <c r="B10" s="205">
        <v>69.328283760000005</v>
      </c>
      <c r="C10" s="231">
        <v>68.174464412741884</v>
      </c>
      <c r="D10" s="247">
        <v>69.810577626154441</v>
      </c>
      <c r="E10" s="247">
        <v>67.240747000733123</v>
      </c>
      <c r="F10" s="248">
        <v>67.472068611338116</v>
      </c>
      <c r="G10" s="231">
        <v>69.108423715834945</v>
      </c>
      <c r="H10" s="921">
        <v>69.108423715834945</v>
      </c>
      <c r="I10" s="507">
        <v>69.131663549789963</v>
      </c>
      <c r="J10" s="928">
        <v>56.267977319417305</v>
      </c>
      <c r="K10" s="261"/>
      <c r="L10" s="260"/>
      <c r="M10" s="260"/>
      <c r="N10" s="107"/>
      <c r="O10" s="107"/>
      <c r="P10" s="107"/>
      <c r="Q10" s="107"/>
      <c r="R10" s="107"/>
      <c r="S10" s="107"/>
      <c r="T10" s="107"/>
      <c r="U10" s="107"/>
      <c r="V10" s="107"/>
    </row>
    <row r="11" spans="1:67" s="13" customFormat="1" ht="16.5" customHeight="1" x14ac:dyDescent="0.25">
      <c r="A11" s="108" t="s">
        <v>10</v>
      </c>
      <c r="B11" s="973"/>
      <c r="C11" s="796"/>
      <c r="D11" s="974"/>
      <c r="E11" s="974"/>
      <c r="F11" s="974"/>
      <c r="G11" s="796"/>
      <c r="H11" s="967"/>
      <c r="I11" s="967"/>
      <c r="J11" s="975"/>
      <c r="K11" s="261"/>
      <c r="L11" s="260"/>
      <c r="M11" s="259"/>
      <c r="N11" s="259"/>
      <c r="O11" s="259"/>
      <c r="P11" s="260"/>
      <c r="Q11" s="260"/>
      <c r="R11" s="260"/>
      <c r="S11" s="260"/>
      <c r="T11" s="260"/>
      <c r="U11" s="260"/>
      <c r="V11" s="107"/>
    </row>
    <row r="12" spans="1:67" s="13" customFormat="1" ht="16.5" customHeight="1" x14ac:dyDescent="0.25">
      <c r="A12" s="285" t="s">
        <v>242</v>
      </c>
      <c r="B12" s="193">
        <v>100</v>
      </c>
      <c r="C12" s="57">
        <v>102.19370268813603</v>
      </c>
      <c r="D12" s="242">
        <v>104.60375759511292</v>
      </c>
      <c r="E12" s="242">
        <v>99.688399085967887</v>
      </c>
      <c r="F12" s="243">
        <v>102.28895138332726</v>
      </c>
      <c r="G12" s="57">
        <v>101.11486623303391</v>
      </c>
      <c r="H12" s="545">
        <v>101.11486623303391</v>
      </c>
      <c r="I12" s="283">
        <v>100.60680652009752</v>
      </c>
      <c r="J12" s="929">
        <v>109.66912723871488</v>
      </c>
      <c r="K12" s="261"/>
      <c r="L12" s="260"/>
      <c r="M12" s="259"/>
      <c r="N12" s="259"/>
      <c r="O12" s="259"/>
      <c r="P12" s="260"/>
      <c r="Q12" s="260"/>
      <c r="R12" s="260"/>
      <c r="S12" s="260"/>
      <c r="T12" s="260"/>
      <c r="U12" s="260"/>
      <c r="V12" s="107"/>
    </row>
    <row r="13" spans="1:67" s="13" customFormat="1" ht="28.5" customHeight="1" x14ac:dyDescent="0.25">
      <c r="A13" s="304" t="s">
        <v>336</v>
      </c>
      <c r="B13" s="98">
        <v>100</v>
      </c>
      <c r="C13" s="133">
        <v>96.013575878969306</v>
      </c>
      <c r="D13" s="102">
        <v>97.254893277542848</v>
      </c>
      <c r="E13" s="102">
        <v>93.235047934546671</v>
      </c>
      <c r="F13" s="134">
        <v>97.550786424818369</v>
      </c>
      <c r="G13" s="133">
        <v>96.293735395992471</v>
      </c>
      <c r="H13" s="539">
        <v>96.293735395992471</v>
      </c>
      <c r="I13" s="322">
        <v>95.30579219445373</v>
      </c>
      <c r="J13" s="443">
        <v>104.95159159183861</v>
      </c>
      <c r="K13" s="262"/>
      <c r="L13" s="260"/>
      <c r="M13" s="259"/>
      <c r="N13" s="259"/>
      <c r="O13" s="259"/>
      <c r="P13" s="260"/>
      <c r="Q13" s="260"/>
      <c r="R13" s="260"/>
      <c r="S13" s="260"/>
      <c r="T13" s="260"/>
      <c r="U13" s="260"/>
      <c r="V13" s="107"/>
    </row>
    <row r="14" spans="1:67" s="13" customFormat="1" ht="16.5" customHeight="1" x14ac:dyDescent="0.25">
      <c r="A14" s="285" t="s">
        <v>243</v>
      </c>
      <c r="B14" s="193">
        <v>100</v>
      </c>
      <c r="C14" s="104">
        <v>98.944125982604263</v>
      </c>
      <c r="D14" s="245">
        <v>100.32946336857319</v>
      </c>
      <c r="E14" s="245">
        <v>99.448888517153478</v>
      </c>
      <c r="F14" s="244">
        <v>97.054026062086081</v>
      </c>
      <c r="G14" s="104">
        <v>95.447119053912019</v>
      </c>
      <c r="H14" s="538">
        <v>95.447119053912019</v>
      </c>
      <c r="I14" s="506">
        <v>95.88719730251087</v>
      </c>
      <c r="J14" s="930">
        <v>100.57745146362058</v>
      </c>
      <c r="K14" s="261"/>
      <c r="L14" s="260"/>
      <c r="M14" s="259"/>
      <c r="N14" s="22"/>
      <c r="O14" s="22"/>
      <c r="P14" s="107"/>
      <c r="Q14" s="107"/>
      <c r="R14" s="107"/>
      <c r="S14" s="107"/>
      <c r="T14" s="107"/>
      <c r="U14" s="107"/>
      <c r="V14" s="107"/>
    </row>
    <row r="15" spans="1:67" s="13" customFormat="1" ht="16.5" customHeight="1" x14ac:dyDescent="0.25">
      <c r="A15" s="306" t="s">
        <v>244</v>
      </c>
      <c r="B15" s="195">
        <v>100</v>
      </c>
      <c r="C15" s="198">
        <v>100.7616185392847</v>
      </c>
      <c r="D15" s="245">
        <v>102.68769466597442</v>
      </c>
      <c r="E15" s="245">
        <v>99.584264056048582</v>
      </c>
      <c r="F15" s="244">
        <v>100.0128968958311</v>
      </c>
      <c r="G15" s="198">
        <v>98.574151980324103</v>
      </c>
      <c r="H15" s="538">
        <v>98.574151980324103</v>
      </c>
      <c r="I15" s="506">
        <v>98.836953063502534</v>
      </c>
      <c r="J15" s="444">
        <v>106.03245692867716</v>
      </c>
      <c r="K15" s="261"/>
      <c r="L15" s="260"/>
      <c r="M15" s="260"/>
      <c r="N15" s="107"/>
      <c r="O15" s="107"/>
      <c r="P15" s="107"/>
      <c r="Q15" s="107"/>
      <c r="R15" s="107"/>
      <c r="S15" s="107"/>
      <c r="T15" s="107"/>
      <c r="U15" s="107"/>
      <c r="V15" s="107"/>
    </row>
    <row r="16" spans="1:67" s="89" customFormat="1" ht="16.5" customHeight="1" x14ac:dyDescent="0.25">
      <c r="A16" s="286" t="s">
        <v>324</v>
      </c>
      <c r="B16" s="193">
        <v>65.824922619999995</v>
      </c>
      <c r="C16" s="57">
        <v>66.221090039654499</v>
      </c>
      <c r="D16" s="249">
        <v>67.3720823974204</v>
      </c>
      <c r="E16" s="249">
        <v>64.033575673633905</v>
      </c>
      <c r="F16" s="250">
        <v>67.25761204790922</v>
      </c>
      <c r="G16" s="57">
        <v>68.638872397102617</v>
      </c>
      <c r="H16" s="535">
        <v>68.638872397102617</v>
      </c>
      <c r="I16" s="931">
        <v>68.145687914178694</v>
      </c>
      <c r="J16" s="932">
        <v>53.988045771149238</v>
      </c>
      <c r="K16" s="261"/>
      <c r="L16" s="260"/>
      <c r="M16" s="260"/>
      <c r="N16" s="107"/>
      <c r="O16" s="107"/>
      <c r="P16" s="107"/>
      <c r="Q16" s="107"/>
      <c r="R16" s="107"/>
      <c r="S16" s="107"/>
      <c r="T16" s="107"/>
      <c r="U16" s="107"/>
      <c r="V16" s="107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</row>
    <row r="17" spans="1:67" s="13" customFormat="1" ht="16.5" customHeight="1" x14ac:dyDescent="0.25">
      <c r="A17" s="192" t="s">
        <v>8</v>
      </c>
      <c r="B17" s="969"/>
      <c r="C17" s="970"/>
      <c r="D17" s="971"/>
      <c r="E17" s="966"/>
      <c r="F17" s="966"/>
      <c r="G17" s="970"/>
      <c r="H17" s="798"/>
      <c r="I17" s="967"/>
      <c r="J17" s="972"/>
      <c r="K17" s="261"/>
      <c r="L17" s="260"/>
      <c r="M17" s="260"/>
      <c r="N17" s="107"/>
      <c r="O17" s="107"/>
      <c r="P17" s="107"/>
      <c r="Q17" s="107"/>
      <c r="R17" s="107"/>
      <c r="S17" s="107"/>
      <c r="T17" s="107"/>
      <c r="U17" s="107"/>
      <c r="V17" s="107"/>
    </row>
    <row r="18" spans="1:67" s="13" customFormat="1" ht="16.5" customHeight="1" x14ac:dyDescent="0.25">
      <c r="A18" s="284" t="s">
        <v>245</v>
      </c>
      <c r="B18" s="184">
        <v>100</v>
      </c>
      <c r="C18" s="54">
        <v>119.65305695660815</v>
      </c>
      <c r="D18" s="185">
        <v>123.79116548896344</v>
      </c>
      <c r="E18" s="185">
        <v>119.62847833641231</v>
      </c>
      <c r="F18" s="241">
        <v>115.53952704444875</v>
      </c>
      <c r="G18" s="54">
        <v>110.53570075086888</v>
      </c>
      <c r="H18" s="545">
        <v>110.53570075086888</v>
      </c>
      <c r="I18" s="505">
        <v>108.23191334638798</v>
      </c>
      <c r="J18" s="441">
        <v>124.99083905858083</v>
      </c>
      <c r="K18" s="261"/>
      <c r="L18" s="260"/>
      <c r="M18" s="260"/>
      <c r="N18" s="107"/>
      <c r="O18" s="107"/>
      <c r="P18" s="107"/>
      <c r="Q18" s="107"/>
      <c r="R18" s="107"/>
      <c r="S18" s="107"/>
      <c r="T18" s="107"/>
      <c r="U18" s="107"/>
      <c r="V18" s="107"/>
    </row>
    <row r="19" spans="1:67" s="13" customFormat="1" ht="16.5" customHeight="1" x14ac:dyDescent="0.25">
      <c r="A19" s="285" t="s">
        <v>246</v>
      </c>
      <c r="B19" s="193">
        <v>100</v>
      </c>
      <c r="C19" s="57">
        <v>106.05849538046213</v>
      </c>
      <c r="D19" s="242">
        <v>107.58506977100305</v>
      </c>
      <c r="E19" s="242">
        <v>106.74722935767626</v>
      </c>
      <c r="F19" s="243">
        <v>103.84318701270705</v>
      </c>
      <c r="G19" s="57">
        <v>102.99135575581015</v>
      </c>
      <c r="H19" s="535">
        <v>102.99135575581015</v>
      </c>
      <c r="I19" s="283">
        <v>100.34333081678196</v>
      </c>
      <c r="J19" s="930">
        <v>103.59925492750295</v>
      </c>
      <c r="K19" s="261"/>
      <c r="L19" s="260"/>
      <c r="M19" s="260"/>
      <c r="N19" s="107"/>
      <c r="O19" s="107"/>
      <c r="P19" s="107"/>
      <c r="Q19" s="107"/>
      <c r="R19" s="107"/>
      <c r="S19" s="107"/>
      <c r="T19" s="107"/>
      <c r="U19" s="107"/>
      <c r="V19" s="107"/>
    </row>
    <row r="20" spans="1:67" s="13" customFormat="1" ht="16.5" customHeight="1" x14ac:dyDescent="0.25">
      <c r="A20" s="285" t="s">
        <v>337</v>
      </c>
      <c r="B20" s="193">
        <v>100</v>
      </c>
      <c r="C20" s="57">
        <v>88.334662152891937</v>
      </c>
      <c r="D20" s="242">
        <v>89.234769089756682</v>
      </c>
      <c r="E20" s="242">
        <v>87.333928975111917</v>
      </c>
      <c r="F20" s="243">
        <v>88.435288393807198</v>
      </c>
      <c r="G20" s="57">
        <v>89.222790454505088</v>
      </c>
      <c r="H20" s="535">
        <v>89.222790454505088</v>
      </c>
      <c r="I20" s="283">
        <v>92.691671058914579</v>
      </c>
      <c r="J20" s="930">
        <v>91.036115759752292</v>
      </c>
      <c r="K20" s="261"/>
      <c r="L20" s="260"/>
      <c r="M20" s="260"/>
      <c r="N20" s="107"/>
      <c r="O20" s="107"/>
      <c r="P20" s="107"/>
      <c r="Q20" s="107"/>
      <c r="R20" s="107"/>
      <c r="S20" s="107"/>
      <c r="T20" s="107"/>
      <c r="U20" s="107"/>
      <c r="V20" s="107"/>
    </row>
    <row r="21" spans="1:67" s="13" customFormat="1" ht="16.5" customHeight="1" x14ac:dyDescent="0.25">
      <c r="A21" s="285" t="s">
        <v>338</v>
      </c>
      <c r="B21" s="193">
        <v>100</v>
      </c>
      <c r="C21" s="57">
        <v>97.255648641406694</v>
      </c>
      <c r="D21" s="242">
        <v>92.863047354434059</v>
      </c>
      <c r="E21" s="242">
        <v>99.457215147475978</v>
      </c>
      <c r="F21" s="243">
        <v>99.446683422310045</v>
      </c>
      <c r="G21" s="57">
        <v>91.184811120613915</v>
      </c>
      <c r="H21" s="535">
        <v>91.184811120613915</v>
      </c>
      <c r="I21" s="283">
        <v>92.122743016786529</v>
      </c>
      <c r="J21" s="930">
        <v>93.764691801901748</v>
      </c>
      <c r="K21" s="261"/>
      <c r="L21" s="260"/>
      <c r="M21" s="261"/>
      <c r="N21" s="107"/>
      <c r="O21" s="107"/>
      <c r="P21" s="107"/>
      <c r="Q21" s="107"/>
      <c r="R21" s="107"/>
      <c r="S21" s="107"/>
      <c r="T21" s="107"/>
      <c r="U21" s="107"/>
      <c r="V21" s="107"/>
    </row>
    <row r="22" spans="1:67" s="13" customFormat="1" ht="16.5" customHeight="1" x14ac:dyDescent="0.25">
      <c r="A22" s="285" t="s">
        <v>247</v>
      </c>
      <c r="B22" s="195">
        <v>100</v>
      </c>
      <c r="C22" s="104">
        <v>100.2748750769392</v>
      </c>
      <c r="D22" s="245">
        <v>96.498619091216838</v>
      </c>
      <c r="E22" s="245">
        <v>99.243925966922177</v>
      </c>
      <c r="F22" s="244">
        <v>105.08208017267863</v>
      </c>
      <c r="G22" s="104">
        <v>95.060588173849595</v>
      </c>
      <c r="H22" s="538">
        <v>95.060588173849595</v>
      </c>
      <c r="I22" s="506">
        <v>96.193247627243167</v>
      </c>
      <c r="J22" s="930">
        <v>98.419886807268128</v>
      </c>
      <c r="K22" s="261"/>
      <c r="L22" s="260"/>
      <c r="M22" s="260"/>
      <c r="N22" s="107"/>
      <c r="O22" s="107"/>
      <c r="P22" s="107"/>
      <c r="Q22" s="107"/>
      <c r="R22" s="107"/>
      <c r="S22" s="107"/>
      <c r="T22" s="107"/>
      <c r="U22" s="107"/>
      <c r="V22" s="107"/>
    </row>
    <row r="23" spans="1:67" s="87" customFormat="1" ht="16.5" customHeight="1" x14ac:dyDescent="0.25">
      <c r="A23" s="199" t="s">
        <v>327</v>
      </c>
      <c r="B23" s="963"/>
      <c r="C23" s="964"/>
      <c r="D23" s="965"/>
      <c r="E23" s="966"/>
      <c r="F23" s="966"/>
      <c r="G23" s="964"/>
      <c r="H23" s="967"/>
      <c r="I23" s="967"/>
      <c r="J23" s="968"/>
      <c r="K23" s="261"/>
      <c r="L23" s="267"/>
      <c r="M23" s="267"/>
      <c r="N23" s="268"/>
      <c r="O23" s="268"/>
      <c r="P23" s="268"/>
      <c r="Q23" s="107"/>
      <c r="R23" s="107"/>
      <c r="S23" s="107"/>
      <c r="T23" s="107"/>
      <c r="U23" s="107"/>
      <c r="V23" s="107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/>
      <c r="AU23" s="13"/>
      <c r="AV23" s="13"/>
      <c r="AW23" s="13"/>
      <c r="AX23" s="13"/>
      <c r="AY23" s="13"/>
      <c r="AZ23" s="13"/>
      <c r="BA23" s="13"/>
      <c r="BB23" s="13"/>
      <c r="BC23" s="13"/>
      <c r="BD23" s="13"/>
      <c r="BE23" s="13"/>
      <c r="BF23" s="13"/>
      <c r="BG23" s="13"/>
      <c r="BH23" s="13"/>
      <c r="BI23" s="13"/>
      <c r="BJ23" s="13"/>
      <c r="BK23" s="13"/>
      <c r="BL23" s="13"/>
      <c r="BM23" s="13"/>
      <c r="BN23" s="13"/>
      <c r="BO23" s="13"/>
    </row>
    <row r="24" spans="1:67" s="13" customFormat="1" ht="16.5" customHeight="1" x14ac:dyDescent="0.25">
      <c r="A24" s="305" t="s">
        <v>248</v>
      </c>
      <c r="B24" s="184">
        <v>100</v>
      </c>
      <c r="C24" s="200">
        <v>90.200369991127189</v>
      </c>
      <c r="D24" s="246">
        <v>94.728040009874874</v>
      </c>
      <c r="E24" s="246">
        <v>87.998028242862247</v>
      </c>
      <c r="F24" s="439">
        <v>87.875041720644447</v>
      </c>
      <c r="G24" s="200">
        <v>88.293289205080683</v>
      </c>
      <c r="H24" s="922">
        <v>88.293289205080683</v>
      </c>
      <c r="I24" s="933">
        <v>83.759029921623338</v>
      </c>
      <c r="J24" s="934">
        <v>95.856303072987018</v>
      </c>
      <c r="K24" s="263"/>
      <c r="L24" s="267"/>
      <c r="M24" s="260"/>
      <c r="N24" s="107"/>
      <c r="O24" s="107"/>
      <c r="P24" s="107"/>
      <c r="Q24" s="107"/>
      <c r="R24" s="107"/>
      <c r="S24" s="107"/>
      <c r="T24" s="107"/>
      <c r="U24" s="107"/>
      <c r="V24" s="107"/>
    </row>
    <row r="25" spans="1:67" s="13" customFormat="1" ht="16.5" customHeight="1" x14ac:dyDescent="0.25">
      <c r="A25" s="513" t="s">
        <v>339</v>
      </c>
      <c r="B25" s="201">
        <f>65+5.950051405</f>
        <v>70.950051404999996</v>
      </c>
      <c r="C25" s="61">
        <f>65+5.60975097567693</f>
        <v>70.609750975676931</v>
      </c>
      <c r="D25" s="188">
        <f>65+3.94952656387828</f>
        <v>68.94952656387828</v>
      </c>
      <c r="E25" s="188">
        <f>65+4.70127779690107</f>
        <v>69.701277796901067</v>
      </c>
      <c r="F25" s="189">
        <f>65+8.17844856625143</f>
        <v>73.178448566251433</v>
      </c>
      <c r="G25" s="61">
        <f>65+6.7488009916872</f>
        <v>71.748800991687204</v>
      </c>
      <c r="H25" s="920">
        <f>65+6.7488009916872</f>
        <v>71.748800991687204</v>
      </c>
      <c r="I25" s="321">
        <f>65+8.14424852206619</f>
        <v>73.144248522066192</v>
      </c>
      <c r="J25" s="935">
        <f>65+8.32347132171697</f>
        <v>73.323471321716966</v>
      </c>
      <c r="K25" s="261"/>
      <c r="L25" s="267"/>
      <c r="M25" s="260"/>
      <c r="N25" s="107"/>
      <c r="O25" s="107"/>
      <c r="P25" s="107"/>
      <c r="Q25" s="107"/>
      <c r="R25" s="107"/>
      <c r="S25" s="107"/>
      <c r="T25" s="107"/>
      <c r="U25" s="107"/>
      <c r="V25" s="107"/>
    </row>
    <row r="26" spans="1:67" s="13" customFormat="1" ht="16.5" customHeight="1" x14ac:dyDescent="0.25">
      <c r="A26" s="285" t="s">
        <v>249</v>
      </c>
      <c r="B26" s="193">
        <v>100</v>
      </c>
      <c r="C26" s="57">
        <v>95.249945722696978</v>
      </c>
      <c r="D26" s="242">
        <v>97.931924196456308</v>
      </c>
      <c r="E26" s="242">
        <v>93.425620448636792</v>
      </c>
      <c r="F26" s="243">
        <v>94.392292522997778</v>
      </c>
      <c r="G26" s="57">
        <v>99.01106953019486</v>
      </c>
      <c r="H26" s="535">
        <v>99.01106953019486</v>
      </c>
      <c r="I26" s="283">
        <v>100.92233166984339</v>
      </c>
      <c r="J26" s="930">
        <v>108.63300647138061</v>
      </c>
      <c r="K26" s="261"/>
      <c r="L26" s="267"/>
      <c r="M26" s="260"/>
      <c r="N26" s="107"/>
      <c r="O26" s="107"/>
      <c r="P26" s="107"/>
      <c r="Q26" s="107"/>
      <c r="R26" s="107"/>
      <c r="S26" s="107"/>
      <c r="T26" s="107"/>
      <c r="U26" s="107"/>
      <c r="V26" s="107"/>
    </row>
    <row r="27" spans="1:67" s="204" customFormat="1" ht="16.5" customHeight="1" x14ac:dyDescent="0.25">
      <c r="A27" s="513" t="s">
        <v>340</v>
      </c>
      <c r="B27" s="201">
        <f>65+7.90219787347759</f>
        <v>72.90219787347759</v>
      </c>
      <c r="C27" s="61">
        <f>65+5.601358369186</f>
        <v>70.601358369186002</v>
      </c>
      <c r="D27" s="188">
        <f>65+4.50939299749709</f>
        <v>69.509392997497088</v>
      </c>
      <c r="E27" s="188">
        <f>65+3.97792528430895</f>
        <v>68.977925284308952</v>
      </c>
      <c r="F27" s="189">
        <f>65+8.31675682575197</f>
        <v>73.316756825751966</v>
      </c>
      <c r="G27" s="61">
        <f>65+5.53633905377251</f>
        <v>70.536339053772508</v>
      </c>
      <c r="H27" s="920">
        <f>65+5.53633905377251</f>
        <v>70.536339053772508</v>
      </c>
      <c r="I27" s="321">
        <f>65+6.98531255294957</f>
        <v>71.985312552949566</v>
      </c>
      <c r="J27" s="442">
        <f>65+4.64091593120339</f>
        <v>69.640915931203395</v>
      </c>
      <c r="K27" s="261"/>
      <c r="L27" s="267"/>
      <c r="M27" s="264"/>
      <c r="N27" s="203"/>
      <c r="O27" s="203"/>
      <c r="P27" s="203"/>
      <c r="Q27" s="203"/>
      <c r="R27" s="203"/>
      <c r="S27" s="203"/>
      <c r="T27" s="203"/>
      <c r="U27" s="203"/>
      <c r="V27" s="203"/>
      <c r="W27" s="202"/>
      <c r="X27" s="202"/>
      <c r="Y27" s="202"/>
      <c r="Z27" s="202"/>
      <c r="AA27" s="202"/>
      <c r="AB27" s="202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  <c r="BM27" s="13"/>
      <c r="BN27" s="13"/>
      <c r="BO27" s="13"/>
    </row>
    <row r="28" spans="1:67" s="13" customFormat="1" ht="16.5" customHeight="1" x14ac:dyDescent="0.25">
      <c r="A28" s="285" t="s">
        <v>250</v>
      </c>
      <c r="B28" s="193">
        <v>100</v>
      </c>
      <c r="C28" s="57">
        <v>102.7152316467258</v>
      </c>
      <c r="D28" s="242">
        <v>104.2468659219376</v>
      </c>
      <c r="E28" s="242">
        <v>97.863828937580664</v>
      </c>
      <c r="F28" s="243">
        <v>106.03500008065912</v>
      </c>
      <c r="G28" s="57">
        <v>100.6751758068923</v>
      </c>
      <c r="H28" s="535">
        <v>100.6751758068923</v>
      </c>
      <c r="I28" s="283">
        <v>103.54881092740769</v>
      </c>
      <c r="J28" s="930">
        <v>111.25242351595969</v>
      </c>
      <c r="K28" s="261"/>
      <c r="L28" s="260"/>
      <c r="M28" s="260"/>
      <c r="N28" s="107"/>
      <c r="O28" s="107"/>
      <c r="P28" s="107"/>
      <c r="Q28" s="107"/>
      <c r="R28" s="107"/>
      <c r="S28" s="107"/>
      <c r="T28" s="107"/>
      <c r="U28" s="107"/>
      <c r="V28" s="107"/>
    </row>
    <row r="29" spans="1:67" s="13" customFormat="1" ht="16.5" customHeight="1" x14ac:dyDescent="0.25">
      <c r="A29" s="288" t="s">
        <v>341</v>
      </c>
      <c r="B29" s="205">
        <v>100</v>
      </c>
      <c r="C29" s="57">
        <v>111.80914294530508</v>
      </c>
      <c r="D29" s="247">
        <v>109.46279374184799</v>
      </c>
      <c r="E29" s="247">
        <v>110.26401247106536</v>
      </c>
      <c r="F29" s="248">
        <v>115.70062262300189</v>
      </c>
      <c r="G29" s="57">
        <v>108.88675233111067</v>
      </c>
      <c r="H29" s="921">
        <v>108.88675233111067</v>
      </c>
      <c r="I29" s="507">
        <v>112.06051861079642</v>
      </c>
      <c r="J29" s="930">
        <v>116.95591560004787</v>
      </c>
      <c r="K29" s="261"/>
      <c r="L29" s="260"/>
      <c r="M29" s="261"/>
      <c r="N29" s="107"/>
      <c r="O29" s="107"/>
      <c r="P29" s="107"/>
      <c r="Q29" s="107"/>
      <c r="R29" s="107"/>
      <c r="S29" s="107"/>
      <c r="T29" s="107"/>
      <c r="U29" s="107"/>
      <c r="V29" s="107"/>
    </row>
    <row r="30" spans="1:67" s="13" customFormat="1" ht="16.5" customHeight="1" x14ac:dyDescent="0.25">
      <c r="A30" s="207" t="s">
        <v>11</v>
      </c>
      <c r="B30" s="957"/>
      <c r="C30" s="958"/>
      <c r="D30" s="959"/>
      <c r="E30" s="959"/>
      <c r="F30" s="959"/>
      <c r="G30" s="958"/>
      <c r="H30" s="960"/>
      <c r="I30" s="960"/>
      <c r="J30" s="962"/>
      <c r="K30" s="261"/>
      <c r="L30" s="260"/>
      <c r="M30" s="260"/>
      <c r="N30" s="107"/>
      <c r="O30" s="107"/>
      <c r="P30" s="107"/>
      <c r="Q30" s="107"/>
      <c r="R30" s="107"/>
      <c r="S30" s="107"/>
      <c r="T30" s="107"/>
      <c r="U30" s="107"/>
      <c r="V30" s="107"/>
    </row>
    <row r="31" spans="1:67" s="13" customFormat="1" ht="16.5" customHeight="1" x14ac:dyDescent="0.25">
      <c r="A31" s="375" t="s">
        <v>310</v>
      </c>
      <c r="B31" s="208">
        <v>7.3282239349999996</v>
      </c>
      <c r="C31" s="206">
        <v>7.3361866109304561</v>
      </c>
      <c r="D31" s="209">
        <v>7.3296179030045678</v>
      </c>
      <c r="E31" s="209">
        <v>7.1873503919719983</v>
      </c>
      <c r="F31" s="210">
        <v>7.491591537814803</v>
      </c>
      <c r="G31" s="206">
        <v>7.3588179076023819</v>
      </c>
      <c r="H31" s="561">
        <v>7.3588179076023819</v>
      </c>
      <c r="I31" s="313" t="s">
        <v>179</v>
      </c>
      <c r="J31" s="936" t="s">
        <v>229</v>
      </c>
      <c r="K31" s="261"/>
      <c r="L31" s="260"/>
      <c r="M31" s="260"/>
      <c r="N31" s="107"/>
      <c r="O31" s="107"/>
      <c r="P31" s="107"/>
      <c r="Q31" s="107"/>
      <c r="R31" s="107"/>
      <c r="S31" s="107"/>
      <c r="T31" s="107"/>
      <c r="U31" s="107"/>
      <c r="V31" s="107"/>
    </row>
    <row r="32" spans="1:67" s="13" customFormat="1" ht="16.5" customHeight="1" x14ac:dyDescent="0.25">
      <c r="A32" s="207" t="s">
        <v>12</v>
      </c>
      <c r="B32" s="957"/>
      <c r="C32" s="958"/>
      <c r="D32" s="959"/>
      <c r="E32" s="959"/>
      <c r="F32" s="959"/>
      <c r="G32" s="958"/>
      <c r="H32" s="960"/>
      <c r="I32" s="960"/>
      <c r="J32" s="961"/>
      <c r="K32" s="261"/>
      <c r="L32" s="260"/>
      <c r="M32" s="260"/>
      <c r="N32" s="107"/>
      <c r="O32" s="107"/>
      <c r="P32" s="107"/>
      <c r="Q32" s="107"/>
      <c r="R32" s="107"/>
      <c r="S32" s="107"/>
      <c r="T32" s="107"/>
      <c r="U32" s="107"/>
      <c r="V32" s="107"/>
    </row>
    <row r="33" spans="1:22" s="13" customFormat="1" ht="16.5" customHeight="1" x14ac:dyDescent="0.25">
      <c r="A33" s="327" t="s">
        <v>314</v>
      </c>
      <c r="B33" s="145">
        <v>5.6178571428571447</v>
      </c>
      <c r="C33" s="145">
        <v>5.8</v>
      </c>
      <c r="D33" s="251">
        <v>6</v>
      </c>
      <c r="E33" s="213">
        <v>5.8</v>
      </c>
      <c r="F33" s="252">
        <v>5.6</v>
      </c>
      <c r="G33" s="145">
        <v>4</v>
      </c>
      <c r="H33" s="923">
        <v>4</v>
      </c>
      <c r="I33" s="330">
        <v>5.8</v>
      </c>
      <c r="J33" s="445">
        <v>7.4</v>
      </c>
      <c r="K33" s="261"/>
      <c r="L33" s="260"/>
      <c r="M33" s="260"/>
      <c r="N33" s="107"/>
      <c r="O33" s="107"/>
      <c r="P33" s="107"/>
      <c r="Q33" s="107"/>
      <c r="R33" s="107"/>
      <c r="S33" s="107"/>
      <c r="T33" s="107"/>
      <c r="U33" s="107"/>
      <c r="V33" s="107"/>
    </row>
    <row r="34" spans="1:22" s="13" customFormat="1" ht="16.5" customHeight="1" x14ac:dyDescent="0.25">
      <c r="A34" s="333" t="s">
        <v>342</v>
      </c>
      <c r="B34" s="145">
        <v>5.0571428571428569</v>
      </c>
      <c r="C34" s="145">
        <v>5.833333333333333</v>
      </c>
      <c r="D34" s="253">
        <v>6</v>
      </c>
      <c r="E34" s="216">
        <v>5.4</v>
      </c>
      <c r="F34" s="312">
        <v>6.1</v>
      </c>
      <c r="G34" s="145">
        <v>6.7</v>
      </c>
      <c r="H34" s="920">
        <v>6.7</v>
      </c>
      <c r="I34" s="303">
        <v>6.2</v>
      </c>
      <c r="J34" s="450">
        <v>6.3</v>
      </c>
      <c r="K34" s="261"/>
      <c r="L34" s="260"/>
      <c r="M34" s="260"/>
      <c r="N34" s="107"/>
      <c r="O34" s="107"/>
      <c r="P34" s="107"/>
      <c r="Q34" s="107"/>
      <c r="R34" s="107"/>
      <c r="S34" s="107"/>
      <c r="T34" s="107"/>
      <c r="U34" s="107"/>
      <c r="V34" s="107"/>
    </row>
    <row r="35" spans="1:22" s="13" customFormat="1" ht="16.5" customHeight="1" x14ac:dyDescent="0.25">
      <c r="A35" s="326" t="s">
        <v>312</v>
      </c>
      <c r="B35" s="145">
        <v>6.411538461538461</v>
      </c>
      <c r="C35" s="145">
        <v>6.2</v>
      </c>
      <c r="D35" s="218">
        <v>5.2</v>
      </c>
      <c r="E35" s="209">
        <v>7.5</v>
      </c>
      <c r="F35" s="232">
        <v>5.9</v>
      </c>
      <c r="G35" s="145">
        <v>4.4000000000000004</v>
      </c>
      <c r="H35" s="509">
        <v>4.4000000000000004</v>
      </c>
      <c r="I35" s="313" t="s">
        <v>77</v>
      </c>
      <c r="J35" s="446" t="s">
        <v>230</v>
      </c>
      <c r="K35" s="261"/>
      <c r="L35" s="260"/>
      <c r="M35" s="260"/>
      <c r="N35" s="107"/>
      <c r="O35" s="107"/>
      <c r="P35" s="107"/>
      <c r="Q35" s="107"/>
      <c r="R35" s="107"/>
      <c r="S35" s="107"/>
      <c r="T35" s="107"/>
      <c r="U35" s="107"/>
      <c r="V35" s="107"/>
    </row>
    <row r="36" spans="1:22" ht="11.15" customHeight="1" x14ac:dyDescent="0.25">
      <c r="A36" s="937"/>
      <c r="B36" s="938"/>
      <c r="C36" s="938"/>
      <c r="D36" s="939"/>
      <c r="E36" s="940"/>
      <c r="F36" s="940"/>
      <c r="G36" s="938"/>
      <c r="H36" s="941"/>
      <c r="I36" s="942"/>
      <c r="J36" s="943"/>
      <c r="K36" s="265"/>
    </row>
    <row r="37" spans="1:22" s="13" customFormat="1" ht="16.5" customHeight="1" x14ac:dyDescent="0.25">
      <c r="A37" s="118" t="s">
        <v>285</v>
      </c>
      <c r="B37" s="1222"/>
      <c r="C37" s="1222"/>
      <c r="D37" s="33">
        <v>2009</v>
      </c>
      <c r="E37" s="33">
        <v>2009</v>
      </c>
      <c r="F37" s="97">
        <v>2016</v>
      </c>
      <c r="G37" s="1222"/>
      <c r="H37" s="338">
        <v>2000</v>
      </c>
      <c r="I37" s="33">
        <v>2019</v>
      </c>
      <c r="J37" s="1197">
        <v>2022</v>
      </c>
      <c r="K37" s="261"/>
      <c r="L37" s="260"/>
      <c r="M37" s="260"/>
      <c r="N37" s="107"/>
      <c r="O37" s="107"/>
      <c r="P37" s="107"/>
      <c r="Q37" s="107"/>
      <c r="R37" s="107"/>
      <c r="S37" s="107"/>
      <c r="T37" s="107"/>
      <c r="U37" s="107"/>
      <c r="V37" s="107"/>
    </row>
    <row r="38" spans="1:22" s="13" customFormat="1" ht="28" customHeight="1" x14ac:dyDescent="0.25">
      <c r="A38" s="1194" t="s">
        <v>367</v>
      </c>
      <c r="B38" s="1223"/>
      <c r="C38" s="1223"/>
      <c r="D38" s="278" t="s">
        <v>369</v>
      </c>
      <c r="E38" s="278" t="s">
        <v>370</v>
      </c>
      <c r="F38" s="278" t="s">
        <v>370</v>
      </c>
      <c r="G38" s="1223"/>
      <c r="H38" s="278" t="s">
        <v>371</v>
      </c>
      <c r="I38" s="278" t="s">
        <v>372</v>
      </c>
      <c r="J38" s="1199" t="s">
        <v>373</v>
      </c>
      <c r="K38" s="261"/>
      <c r="L38" s="260"/>
      <c r="M38" s="260"/>
      <c r="N38" s="107"/>
      <c r="O38" s="107"/>
      <c r="P38" s="107"/>
      <c r="Q38" s="107"/>
      <c r="R38" s="107"/>
      <c r="S38" s="107"/>
      <c r="T38" s="107"/>
      <c r="U38" s="107"/>
      <c r="V38" s="107"/>
    </row>
    <row r="39" spans="1:22" s="13" customFormat="1" ht="27" customHeight="1" x14ac:dyDescent="0.25">
      <c r="A39" s="1194" t="s">
        <v>368</v>
      </c>
      <c r="B39" s="1224"/>
      <c r="C39" s="1224"/>
      <c r="D39" s="1200" t="s">
        <v>374</v>
      </c>
      <c r="E39" s="278" t="s">
        <v>375</v>
      </c>
      <c r="F39" s="1199" t="s">
        <v>375</v>
      </c>
      <c r="G39" s="1224"/>
      <c r="H39" s="278" t="s">
        <v>376</v>
      </c>
      <c r="I39" s="278" t="s">
        <v>377</v>
      </c>
      <c r="J39" s="1199" t="s">
        <v>378</v>
      </c>
      <c r="K39" s="261"/>
      <c r="L39" s="260"/>
      <c r="M39" s="260"/>
      <c r="N39" s="107"/>
      <c r="O39" s="107"/>
      <c r="P39" s="107"/>
      <c r="Q39" s="107"/>
      <c r="R39" s="107"/>
      <c r="S39" s="107"/>
      <c r="T39" s="107"/>
      <c r="U39" s="107"/>
      <c r="V39" s="107"/>
    </row>
    <row r="40" spans="1:22" s="13" customFormat="1" ht="16.5" customHeight="1" x14ac:dyDescent="0.25">
      <c r="A40" s="114" t="s">
        <v>6</v>
      </c>
      <c r="B40" s="945"/>
      <c r="C40" s="946"/>
      <c r="D40" s="1195"/>
      <c r="E40" s="1196"/>
      <c r="F40" s="1196"/>
      <c r="G40" s="946"/>
      <c r="H40" s="1010"/>
      <c r="I40" s="1198"/>
      <c r="J40" s="956"/>
      <c r="K40" s="260"/>
      <c r="L40" s="260"/>
      <c r="M40" s="260"/>
      <c r="N40" s="107"/>
      <c r="O40" s="107"/>
      <c r="P40" s="107"/>
      <c r="Q40" s="107"/>
      <c r="R40" s="107"/>
      <c r="S40" s="107"/>
      <c r="T40" s="107"/>
      <c r="U40" s="107"/>
      <c r="V40" s="107"/>
    </row>
    <row r="41" spans="1:22" s="13" customFormat="1" ht="16.5" customHeight="1" x14ac:dyDescent="0.25">
      <c r="A41" s="211" t="s">
        <v>19</v>
      </c>
      <c r="B41" s="947"/>
      <c r="C41" s="948"/>
      <c r="D41" s="221">
        <v>16</v>
      </c>
      <c r="E41" s="221">
        <v>13</v>
      </c>
      <c r="F41" s="225">
        <v>13</v>
      </c>
      <c r="G41" s="953"/>
      <c r="H41" s="924">
        <v>16</v>
      </c>
      <c r="I41" s="353">
        <v>10</v>
      </c>
      <c r="J41" s="447">
        <v>9</v>
      </c>
      <c r="K41" s="260"/>
      <c r="L41" s="260"/>
      <c r="M41" s="260"/>
      <c r="N41" s="107"/>
      <c r="O41" s="107"/>
      <c r="P41" s="107"/>
      <c r="Q41" s="107"/>
      <c r="R41" s="107"/>
      <c r="S41" s="107"/>
      <c r="T41" s="107"/>
      <c r="U41" s="107"/>
      <c r="V41" s="107"/>
    </row>
    <row r="42" spans="1:22" s="13" customFormat="1" ht="16.5" customHeight="1" x14ac:dyDescent="0.25">
      <c r="A42" s="214" t="s">
        <v>20</v>
      </c>
      <c r="B42" s="949"/>
      <c r="C42" s="950"/>
      <c r="D42" s="224">
        <v>13</v>
      </c>
      <c r="E42" s="224">
        <v>10</v>
      </c>
      <c r="F42" s="226">
        <v>10</v>
      </c>
      <c r="G42" s="954"/>
      <c r="H42" s="925">
        <v>13</v>
      </c>
      <c r="I42" s="354">
        <v>7</v>
      </c>
      <c r="J42" s="448">
        <v>6</v>
      </c>
      <c r="K42" s="260"/>
      <c r="L42" s="260"/>
      <c r="M42" s="260"/>
      <c r="N42" s="107"/>
      <c r="O42" s="107"/>
      <c r="P42" s="107"/>
      <c r="Q42" s="107"/>
      <c r="R42" s="107"/>
      <c r="S42" s="107"/>
      <c r="T42" s="107"/>
      <c r="U42" s="107"/>
      <c r="V42" s="107"/>
    </row>
    <row r="43" spans="1:22" s="13" customFormat="1" ht="16.5" customHeight="1" thickBot="1" x14ac:dyDescent="0.3">
      <c r="A43" s="227" t="s">
        <v>21</v>
      </c>
      <c r="B43" s="951"/>
      <c r="C43" s="952"/>
      <c r="D43" s="228">
        <v>13</v>
      </c>
      <c r="E43" s="228">
        <v>10</v>
      </c>
      <c r="F43" s="440">
        <v>10</v>
      </c>
      <c r="G43" s="955"/>
      <c r="H43" s="926">
        <v>13</v>
      </c>
      <c r="I43" s="927">
        <v>6</v>
      </c>
      <c r="J43" s="449">
        <v>6</v>
      </c>
      <c r="K43" s="260"/>
      <c r="L43" s="260"/>
      <c r="M43" s="260"/>
      <c r="N43" s="107"/>
      <c r="O43" s="107"/>
      <c r="P43" s="107"/>
      <c r="Q43" s="107"/>
      <c r="R43" s="107"/>
      <c r="S43" s="107"/>
      <c r="T43" s="107"/>
      <c r="U43" s="107"/>
      <c r="V43" s="107"/>
    </row>
  </sheetData>
  <mergeCells count="5">
    <mergeCell ref="D2:F2"/>
    <mergeCell ref="H2:J2"/>
    <mergeCell ref="B37:B39"/>
    <mergeCell ref="C37:C39"/>
    <mergeCell ref="G37:G39"/>
  </mergeCells>
  <phoneticPr fontId="6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8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1">
    <pageSetUpPr fitToPage="1"/>
  </sheetPr>
  <dimension ref="A1:P43"/>
  <sheetViews>
    <sheetView zoomScaleNormal="100" workbookViewId="0">
      <pane xSplit="9" ySplit="12" topLeftCell="J32" activePane="bottomRight" state="frozen"/>
      <selection pane="topRight" activeCell="J1" sqref="J1"/>
      <selection pane="bottomLeft" activeCell="A13" sqref="A13"/>
      <selection pane="bottomRight" activeCell="N42" sqref="N42"/>
    </sheetView>
  </sheetViews>
  <sheetFormatPr defaultColWidth="9.08984375" defaultRowHeight="12.5" x14ac:dyDescent="0.25"/>
  <cols>
    <col min="1" max="1" width="46.36328125" customWidth="1"/>
    <col min="2" max="2" width="8.7265625" style="43" customWidth="1"/>
    <col min="3" max="3" width="9.26953125" style="43" customWidth="1"/>
    <col min="4" max="4" width="10.453125" style="43" customWidth="1"/>
    <col min="5" max="5" width="11.08984375" style="43" customWidth="1"/>
    <col min="6" max="6" width="10.1796875" style="43" customWidth="1"/>
    <col min="7" max="7" width="8.1796875" style="43" customWidth="1"/>
    <col min="8" max="8" width="10.54296875" style="43" customWidth="1"/>
    <col min="9" max="9" width="11.81640625" style="605" customWidth="1"/>
    <col min="10" max="10" width="10.26953125" style="43" customWidth="1"/>
    <col min="11" max="11" width="11.26953125" style="43" customWidth="1"/>
    <col min="12" max="12" width="10" style="43" customWidth="1"/>
    <col min="13" max="13" width="10.81640625" style="43" customWidth="1"/>
    <col min="14" max="14" width="8.6328125" style="605" customWidth="1"/>
    <col min="15" max="15" width="11.26953125" style="43" customWidth="1"/>
    <col min="16" max="16" width="8.6328125" style="605" customWidth="1"/>
    <col min="17" max="17" width="4.7265625" customWidth="1"/>
  </cols>
  <sheetData>
    <row r="1" spans="1:16" ht="17.25" customHeight="1" thickBot="1" x14ac:dyDescent="0.35">
      <c r="A1" s="19" t="s">
        <v>343</v>
      </c>
      <c r="B1" s="45"/>
      <c r="C1" s="45"/>
      <c r="D1" s="3"/>
      <c r="E1" s="3"/>
      <c r="F1" s="3"/>
      <c r="G1" s="3"/>
      <c r="H1" s="3"/>
      <c r="I1" s="611"/>
      <c r="J1" s="3"/>
      <c r="K1" s="3"/>
      <c r="L1" s="2"/>
      <c r="M1" s="2"/>
      <c r="N1" s="611"/>
      <c r="O1" s="2"/>
      <c r="P1" s="611"/>
    </row>
    <row r="2" spans="1:16" ht="80.25" customHeight="1" x14ac:dyDescent="0.25">
      <c r="A2" s="25"/>
      <c r="B2" s="27" t="s">
        <v>88</v>
      </c>
      <c r="C2" s="27" t="s">
        <v>344</v>
      </c>
      <c r="D2" s="316" t="s">
        <v>82</v>
      </c>
      <c r="E2" s="316" t="s">
        <v>58</v>
      </c>
      <c r="F2" s="316" t="s">
        <v>59</v>
      </c>
      <c r="G2" s="316" t="s">
        <v>171</v>
      </c>
      <c r="H2" s="317" t="s">
        <v>68</v>
      </c>
      <c r="I2" s="318" t="s">
        <v>0</v>
      </c>
      <c r="J2" s="316" t="s">
        <v>159</v>
      </c>
      <c r="K2" s="317" t="s">
        <v>60</v>
      </c>
      <c r="L2" s="318" t="s">
        <v>67</v>
      </c>
      <c r="M2" s="318" t="s">
        <v>80</v>
      </c>
      <c r="N2" s="318" t="s">
        <v>194</v>
      </c>
      <c r="O2" s="318" t="s">
        <v>52</v>
      </c>
      <c r="P2" s="314" t="s">
        <v>183</v>
      </c>
    </row>
    <row r="3" spans="1:16" ht="29.25" customHeight="1" x14ac:dyDescent="0.25">
      <c r="A3" s="20" t="s">
        <v>269</v>
      </c>
      <c r="B3" s="814"/>
      <c r="C3" s="814"/>
      <c r="D3" s="278" t="s">
        <v>1</v>
      </c>
      <c r="E3" s="278" t="s">
        <v>1</v>
      </c>
      <c r="F3" s="278" t="s">
        <v>1</v>
      </c>
      <c r="G3" s="278" t="s">
        <v>2</v>
      </c>
      <c r="H3" s="278" t="s">
        <v>1</v>
      </c>
      <c r="I3" s="278" t="s">
        <v>1</v>
      </c>
      <c r="J3" s="594" t="s">
        <v>2</v>
      </c>
      <c r="K3" s="278" t="s">
        <v>1</v>
      </c>
      <c r="L3" s="278" t="s">
        <v>1</v>
      </c>
      <c r="M3" s="278" t="s">
        <v>3</v>
      </c>
      <c r="N3" s="278" t="s">
        <v>2</v>
      </c>
      <c r="O3" s="278" t="s">
        <v>1</v>
      </c>
      <c r="P3" s="455" t="s">
        <v>2</v>
      </c>
    </row>
    <row r="4" spans="1:16" ht="15" customHeight="1" x14ac:dyDescent="0.3">
      <c r="A4" s="26" t="s">
        <v>7</v>
      </c>
      <c r="B4" s="976"/>
      <c r="C4" s="976"/>
      <c r="D4" s="1184">
        <v>143.20400000000001</v>
      </c>
      <c r="E4" s="1184">
        <v>143.934</v>
      </c>
      <c r="F4" s="1184">
        <v>144.274</v>
      </c>
      <c r="G4" s="1184">
        <v>144.72399999999999</v>
      </c>
      <c r="H4" s="1184">
        <v>146.858</v>
      </c>
      <c r="I4" s="1184">
        <v>148.30599999999998</v>
      </c>
      <c r="J4" s="1184">
        <v>148.33699999999999</v>
      </c>
      <c r="K4" s="1184">
        <v>148.625</v>
      </c>
      <c r="L4" s="1184">
        <v>149.08799999999999</v>
      </c>
      <c r="M4" s="1184">
        <v>149.82</v>
      </c>
      <c r="N4" s="1184">
        <v>150.24599999999998</v>
      </c>
      <c r="O4" s="1184">
        <v>150.26300000000001</v>
      </c>
      <c r="P4" s="1184">
        <v>150.37200000000001</v>
      </c>
    </row>
    <row r="5" spans="1:16" s="13" customFormat="1" ht="17.25" customHeight="1" x14ac:dyDescent="0.25">
      <c r="A5" s="108" t="s">
        <v>9</v>
      </c>
      <c r="B5" s="796"/>
      <c r="C5" s="796"/>
      <c r="D5" s="977"/>
      <c r="E5" s="977"/>
      <c r="F5" s="977"/>
      <c r="G5" s="977"/>
      <c r="H5" s="977"/>
      <c r="I5" s="978"/>
      <c r="J5" s="977"/>
      <c r="K5" s="977"/>
      <c r="L5" s="977"/>
      <c r="M5" s="977"/>
      <c r="N5" s="978"/>
      <c r="O5" s="977"/>
      <c r="P5" s="979"/>
    </row>
    <row r="6" spans="1:16" s="13" customFormat="1" ht="17.25" customHeight="1" x14ac:dyDescent="0.25">
      <c r="A6" s="501" t="s">
        <v>241</v>
      </c>
      <c r="B6" s="184">
        <v>100</v>
      </c>
      <c r="C6" s="54">
        <v>101.53862246589765</v>
      </c>
      <c r="D6" s="505">
        <v>105.64727008572156</v>
      </c>
      <c r="E6" s="505">
        <v>100.87145952392589</v>
      </c>
      <c r="F6" s="505">
        <v>98.921787938829027</v>
      </c>
      <c r="G6" s="505">
        <v>103.19379970444831</v>
      </c>
      <c r="H6" s="505">
        <v>103.7663809178472</v>
      </c>
      <c r="I6" s="505">
        <v>101.62315288780091</v>
      </c>
      <c r="J6" s="505">
        <v>100.78067804452112</v>
      </c>
      <c r="K6" s="505">
        <v>98.41436425128245</v>
      </c>
      <c r="L6" s="505">
        <v>99.94069626149809</v>
      </c>
      <c r="M6" s="505">
        <v>102.34874549043239</v>
      </c>
      <c r="N6" s="505">
        <v>107.39878777991788</v>
      </c>
      <c r="O6" s="505">
        <v>103.12386786027598</v>
      </c>
      <c r="P6" s="459">
        <v>102.64828224542394</v>
      </c>
    </row>
    <row r="7" spans="1:16" s="13" customFormat="1" ht="17.25" customHeight="1" x14ac:dyDescent="0.25">
      <c r="A7" s="513" t="s">
        <v>265</v>
      </c>
      <c r="B7" s="187">
        <f>65+11.74125523</f>
        <v>76.741255230000007</v>
      </c>
      <c r="C7" s="61">
        <f>65+12.0759074322192</f>
        <v>77.075907432219196</v>
      </c>
      <c r="D7" s="321">
        <f>65+11.8343549160722</f>
        <v>76.834354916072201</v>
      </c>
      <c r="E7" s="321">
        <f>65+11.8098701249913</f>
        <v>76.809870124991306</v>
      </c>
      <c r="F7" s="321">
        <f>65+10.7353860892832</f>
        <v>75.735386089283196</v>
      </c>
      <c r="G7" s="321">
        <f>65+12.065163785606</f>
        <v>77.065163785606003</v>
      </c>
      <c r="H7" s="321">
        <f>65+12.8224054239082</f>
        <v>77.822405423908208</v>
      </c>
      <c r="I7" s="321">
        <f>65+12.3488632499337</f>
        <v>77.3488632499337</v>
      </c>
      <c r="J7" s="321">
        <f>65+11.1921722761425</f>
        <v>76.1921722761425</v>
      </c>
      <c r="K7" s="321">
        <f>65+12.5449487963728</f>
        <v>77.544948796372807</v>
      </c>
      <c r="L7" s="321">
        <f>65+12.1688493096906</f>
        <v>77.1688493096906</v>
      </c>
      <c r="M7" s="321">
        <f>65+10.6131931843029</f>
        <v>75.613193184302901</v>
      </c>
      <c r="N7" s="321">
        <f>65+14.9284489124562</f>
        <v>79.928448912456204</v>
      </c>
      <c r="O7" s="321">
        <f>65+12.3425815475016</f>
        <v>77.342581547501595</v>
      </c>
      <c r="P7" s="980">
        <f>65+12.0101155791229</f>
        <v>77.010115579122896</v>
      </c>
    </row>
    <row r="8" spans="1:16" s="13" customFormat="1" ht="17.25" customHeight="1" x14ac:dyDescent="0.25">
      <c r="A8" s="287" t="s">
        <v>345</v>
      </c>
      <c r="B8" s="133">
        <v>100</v>
      </c>
      <c r="C8" s="502">
        <v>101.80261646394825</v>
      </c>
      <c r="D8" s="322">
        <v>105.7844171091717</v>
      </c>
      <c r="E8" s="322">
        <v>100.86912044285849</v>
      </c>
      <c r="F8" s="322">
        <v>97.430315677547782</v>
      </c>
      <c r="G8" s="322">
        <v>103.40912103016997</v>
      </c>
      <c r="H8" s="322">
        <v>104.90555395521488</v>
      </c>
      <c r="I8" s="322">
        <v>102.28883210932231</v>
      </c>
      <c r="J8" s="322">
        <v>99.629541308194405</v>
      </c>
      <c r="K8" s="322">
        <v>99.266034259860277</v>
      </c>
      <c r="L8" s="322">
        <v>100.33993483087036</v>
      </c>
      <c r="M8" s="322">
        <v>100.46547009738239</v>
      </c>
      <c r="N8" s="322">
        <v>110.61517583411143</v>
      </c>
      <c r="O8" s="322">
        <v>103.5367233267402</v>
      </c>
      <c r="P8" s="722">
        <v>102.58881116079284</v>
      </c>
    </row>
    <row r="9" spans="1:16" s="13" customFormat="1" ht="17.25" customHeight="1" x14ac:dyDescent="0.25">
      <c r="A9" s="286" t="s">
        <v>323</v>
      </c>
      <c r="B9" s="205">
        <v>69.328283760000005</v>
      </c>
      <c r="C9" s="231">
        <v>69.730678117466852</v>
      </c>
      <c r="D9" s="506">
        <v>65.120081222780854</v>
      </c>
      <c r="E9" s="506">
        <v>68.639465596974233</v>
      </c>
      <c r="F9" s="506">
        <v>67.077465594160586</v>
      </c>
      <c r="G9" s="506">
        <v>68.56046740370995</v>
      </c>
      <c r="H9" s="506">
        <v>76.074255803683613</v>
      </c>
      <c r="I9" s="506">
        <v>67.679801697866679</v>
      </c>
      <c r="J9" s="506">
        <v>69.771508982399354</v>
      </c>
      <c r="K9" s="506">
        <v>73.764715344038663</v>
      </c>
      <c r="L9" s="506">
        <v>68.006839156041963</v>
      </c>
      <c r="M9" s="506">
        <v>66.837015229198599</v>
      </c>
      <c r="N9" s="506">
        <v>70.138781711869797</v>
      </c>
      <c r="O9" s="506">
        <v>71.482800524188278</v>
      </c>
      <c r="P9" s="981">
        <v>69.798448378536463</v>
      </c>
    </row>
    <row r="10" spans="1:16" s="13" customFormat="1" ht="16.5" customHeight="1" x14ac:dyDescent="0.25">
      <c r="A10" s="108" t="s">
        <v>10</v>
      </c>
      <c r="B10" s="995"/>
      <c r="C10" s="996"/>
      <c r="D10" s="967"/>
      <c r="E10" s="967"/>
      <c r="F10" s="967"/>
      <c r="G10" s="967"/>
      <c r="H10" s="967"/>
      <c r="I10" s="967"/>
      <c r="J10" s="967"/>
      <c r="K10" s="967"/>
      <c r="L10" s="967"/>
      <c r="M10" s="967"/>
      <c r="N10" s="967"/>
      <c r="O10" s="967"/>
      <c r="P10" s="997"/>
    </row>
    <row r="11" spans="1:16" s="13" customFormat="1" ht="17.25" customHeight="1" x14ac:dyDescent="0.25">
      <c r="A11" s="285" t="s">
        <v>242</v>
      </c>
      <c r="B11" s="193">
        <v>100</v>
      </c>
      <c r="C11" s="57">
        <v>102.59859443891759</v>
      </c>
      <c r="D11" s="283">
        <v>105.03819229672743</v>
      </c>
      <c r="E11" s="283">
        <v>103.35869987378403</v>
      </c>
      <c r="F11" s="283">
        <v>102.58074873227712</v>
      </c>
      <c r="G11" s="283">
        <v>100.18310174622809</v>
      </c>
      <c r="H11" s="283">
        <v>103.36538058620755</v>
      </c>
      <c r="I11" s="283">
        <v>102.00079851799542</v>
      </c>
      <c r="J11" s="283">
        <v>102.1188027778971</v>
      </c>
      <c r="K11" s="283">
        <v>100.82865949255574</v>
      </c>
      <c r="L11" s="283">
        <v>100.97885568866349</v>
      </c>
      <c r="M11" s="283">
        <v>101.4605900779749</v>
      </c>
      <c r="N11" s="283">
        <v>102.85496311731735</v>
      </c>
      <c r="O11" s="283">
        <v>102.63742032312999</v>
      </c>
      <c r="P11" s="982">
        <v>101.60059888775584</v>
      </c>
    </row>
    <row r="12" spans="1:16" s="13" customFormat="1" ht="27" customHeight="1" x14ac:dyDescent="0.25">
      <c r="A12" s="304" t="s">
        <v>336</v>
      </c>
      <c r="B12" s="98">
        <v>100</v>
      </c>
      <c r="C12" s="133">
        <v>102.24442473798629</v>
      </c>
      <c r="D12" s="322">
        <v>102.94056555760423</v>
      </c>
      <c r="E12" s="322">
        <v>102.75071639159435</v>
      </c>
      <c r="F12" s="322">
        <v>99.164910820281094</v>
      </c>
      <c r="G12" s="322">
        <v>97.718029767529345</v>
      </c>
      <c r="H12" s="322">
        <v>104.38765849319192</v>
      </c>
      <c r="I12" s="322">
        <v>102.40633803257761</v>
      </c>
      <c r="J12" s="322">
        <v>103.33359539752172</v>
      </c>
      <c r="K12" s="322">
        <v>101.41277480180455</v>
      </c>
      <c r="L12" s="322">
        <v>101.83597545931818</v>
      </c>
      <c r="M12" s="322">
        <v>101.00600341616448</v>
      </c>
      <c r="N12" s="322">
        <v>104.06203347460973</v>
      </c>
      <c r="O12" s="322">
        <v>103.05645834751834</v>
      </c>
      <c r="P12" s="722">
        <v>100.30948763484299</v>
      </c>
    </row>
    <row r="13" spans="1:16" s="13" customFormat="1" ht="17.25" customHeight="1" x14ac:dyDescent="0.25">
      <c r="A13" s="503" t="s">
        <v>243</v>
      </c>
      <c r="B13" s="193">
        <v>100</v>
      </c>
      <c r="C13" s="57">
        <v>102.09626209189393</v>
      </c>
      <c r="D13" s="283">
        <v>105.37360659067456</v>
      </c>
      <c r="E13" s="283">
        <v>101.10977604067995</v>
      </c>
      <c r="F13" s="283">
        <v>103.05629483343132</v>
      </c>
      <c r="G13" s="283">
        <v>104.02482338454118</v>
      </c>
      <c r="H13" s="283">
        <v>102.79192578479575</v>
      </c>
      <c r="I13" s="283">
        <v>100.00334985943998</v>
      </c>
      <c r="J13" s="283">
        <v>98.922435689910145</v>
      </c>
      <c r="K13" s="283">
        <v>99.491340501082817</v>
      </c>
      <c r="L13" s="283">
        <v>101.9736590327518</v>
      </c>
      <c r="M13" s="283">
        <v>98.739113828832217</v>
      </c>
      <c r="N13" s="283">
        <v>105.58623205070842</v>
      </c>
      <c r="O13" s="283">
        <v>102.97014409229536</v>
      </c>
      <c r="P13" s="982">
        <v>101.86450447597691</v>
      </c>
    </row>
    <row r="14" spans="1:16" s="13" customFormat="1" ht="17.25" customHeight="1" x14ac:dyDescent="0.25">
      <c r="A14" s="306" t="s">
        <v>244</v>
      </c>
      <c r="B14" s="195">
        <v>100</v>
      </c>
      <c r="C14" s="219">
        <v>102.35958519304174</v>
      </c>
      <c r="D14" s="506">
        <v>105.17698441836073</v>
      </c>
      <c r="E14" s="506">
        <v>102.28312760577774</v>
      </c>
      <c r="F14" s="506">
        <v>102.80818382413347</v>
      </c>
      <c r="G14" s="506">
        <v>102.10396256538463</v>
      </c>
      <c r="H14" s="506">
        <v>103.07865318550165</v>
      </c>
      <c r="I14" s="506">
        <v>101.04549698564283</v>
      </c>
      <c r="J14" s="506">
        <v>100.84025594270233</v>
      </c>
      <c r="K14" s="506">
        <v>100.18907214880781</v>
      </c>
      <c r="L14" s="506">
        <v>101.47625736070763</v>
      </c>
      <c r="M14" s="506">
        <v>100.37199957831783</v>
      </c>
      <c r="N14" s="506">
        <v>104.22059758401288</v>
      </c>
      <c r="O14" s="506">
        <v>102.81890601540202</v>
      </c>
      <c r="P14" s="981">
        <v>101.73255168186638</v>
      </c>
    </row>
    <row r="15" spans="1:16" s="13" customFormat="1" ht="17.25" customHeight="1" x14ac:dyDescent="0.25">
      <c r="A15" s="286" t="s">
        <v>324</v>
      </c>
      <c r="B15" s="193">
        <v>65.824922619999995</v>
      </c>
      <c r="C15" s="57">
        <v>66.843783462579324</v>
      </c>
      <c r="D15" s="931">
        <v>63.542325124342483</v>
      </c>
      <c r="E15" s="931">
        <v>68.815319837103175</v>
      </c>
      <c r="F15" s="931">
        <v>61.660517053790294</v>
      </c>
      <c r="G15" s="931">
        <v>66.433050877708908</v>
      </c>
      <c r="H15" s="931">
        <v>68.689742325395287</v>
      </c>
      <c r="I15" s="931">
        <v>67.015280938345356</v>
      </c>
      <c r="J15" s="931">
        <v>67.54317765607523</v>
      </c>
      <c r="K15" s="931">
        <v>69.742466785874626</v>
      </c>
      <c r="L15" s="283">
        <v>66.07112241326297</v>
      </c>
      <c r="M15" s="931">
        <v>64.975394814458625</v>
      </c>
      <c r="N15" s="283">
        <v>68.813228753052456</v>
      </c>
      <c r="O15" s="931">
        <v>69.213493222520469</v>
      </c>
      <c r="P15" s="982">
        <v>66.757728753052461</v>
      </c>
    </row>
    <row r="16" spans="1:16" s="13" customFormat="1" ht="17.25" customHeight="1" x14ac:dyDescent="0.25">
      <c r="A16" s="192" t="s">
        <v>8</v>
      </c>
      <c r="B16" s="969"/>
      <c r="C16" s="970"/>
      <c r="D16" s="967"/>
      <c r="E16" s="967"/>
      <c r="F16" s="967"/>
      <c r="G16" s="967"/>
      <c r="H16" s="967"/>
      <c r="I16" s="798"/>
      <c r="J16" s="967"/>
      <c r="K16" s="967"/>
      <c r="L16" s="798"/>
      <c r="M16" s="798"/>
      <c r="N16" s="798"/>
      <c r="O16" s="998"/>
      <c r="P16" s="999"/>
    </row>
    <row r="17" spans="1:16" s="13" customFormat="1" ht="17.25" customHeight="1" x14ac:dyDescent="0.25">
      <c r="A17" s="501" t="s">
        <v>245</v>
      </c>
      <c r="B17" s="184">
        <v>100</v>
      </c>
      <c r="C17" s="504">
        <v>105.73208440714019</v>
      </c>
      <c r="D17" s="983">
        <v>111.0588543275161</v>
      </c>
      <c r="E17" s="983">
        <v>103.39577348903904</v>
      </c>
      <c r="F17" s="983">
        <v>115.78668865534539</v>
      </c>
      <c r="G17" s="983">
        <v>96.484718739448297</v>
      </c>
      <c r="H17" s="983">
        <v>106.64431896591833</v>
      </c>
      <c r="I17" s="983">
        <v>98.129219613545743</v>
      </c>
      <c r="J17" s="983">
        <v>94.017999382758475</v>
      </c>
      <c r="K17" s="983">
        <v>101.40603938511086</v>
      </c>
      <c r="L17" s="983">
        <v>104.54811045968326</v>
      </c>
      <c r="M17" s="983">
        <v>107.76047696374326</v>
      </c>
      <c r="N17" s="983">
        <v>108.62848270036459</v>
      </c>
      <c r="O17" s="983">
        <v>104.88767036096284</v>
      </c>
      <c r="P17" s="984">
        <v>96.535693498392163</v>
      </c>
    </row>
    <row r="18" spans="1:16" s="13" customFormat="1" ht="17.25" customHeight="1" x14ac:dyDescent="0.25">
      <c r="A18" s="503" t="s">
        <v>246</v>
      </c>
      <c r="B18" s="193">
        <v>100</v>
      </c>
      <c r="C18" s="57">
        <v>106.94557828830619</v>
      </c>
      <c r="D18" s="283">
        <v>111.92101879014038</v>
      </c>
      <c r="E18" s="283">
        <v>105.67217339928094</v>
      </c>
      <c r="F18" s="283">
        <v>109.95524679572517</v>
      </c>
      <c r="G18" s="283">
        <v>102.748266216319</v>
      </c>
      <c r="H18" s="283">
        <v>109.57003091893735</v>
      </c>
      <c r="I18" s="283">
        <v>103.54878216955399</v>
      </c>
      <c r="J18" s="283">
        <v>99.117188061654929</v>
      </c>
      <c r="K18" s="283">
        <v>103.13632203640327</v>
      </c>
      <c r="L18" s="283">
        <v>105.8002463987826</v>
      </c>
      <c r="M18" s="283">
        <v>107.15073545256813</v>
      </c>
      <c r="N18" s="283">
        <v>110.77502459850902</v>
      </c>
      <c r="O18" s="283">
        <v>105.96080579762581</v>
      </c>
      <c r="P18" s="982">
        <v>100.12852753596627</v>
      </c>
    </row>
    <row r="19" spans="1:16" s="13" customFormat="1" ht="17.25" customHeight="1" x14ac:dyDescent="0.25">
      <c r="A19" s="285" t="s">
        <v>337</v>
      </c>
      <c r="B19" s="193">
        <v>100</v>
      </c>
      <c r="C19" s="57">
        <v>97.708821980892537</v>
      </c>
      <c r="D19" s="283">
        <v>100.03362340193635</v>
      </c>
      <c r="E19" s="283">
        <v>96.498491128615925</v>
      </c>
      <c r="F19" s="283">
        <v>92.766344392121368</v>
      </c>
      <c r="G19" s="283">
        <v>98.381869041747308</v>
      </c>
      <c r="H19" s="283">
        <v>100.44394335445755</v>
      </c>
      <c r="I19" s="283">
        <v>99.047885669769883</v>
      </c>
      <c r="J19" s="283">
        <v>103.2440408477453</v>
      </c>
      <c r="K19" s="283">
        <v>97.391299567906842</v>
      </c>
      <c r="L19" s="283">
        <v>97.251634394330651</v>
      </c>
      <c r="M19" s="283">
        <v>100.78032877132489</v>
      </c>
      <c r="N19" s="283">
        <v>107.1385992496032</v>
      </c>
      <c r="O19" s="283">
        <v>98.237353938001746</v>
      </c>
      <c r="P19" s="982">
        <v>101.60007290265766</v>
      </c>
    </row>
    <row r="20" spans="1:16" s="13" customFormat="1" ht="17.25" customHeight="1" x14ac:dyDescent="0.25">
      <c r="A20" s="285" t="s">
        <v>338</v>
      </c>
      <c r="B20" s="193">
        <v>100</v>
      </c>
      <c r="C20" s="57">
        <v>98.904146685629854</v>
      </c>
      <c r="D20" s="283">
        <v>105.79803583895075</v>
      </c>
      <c r="E20" s="283">
        <v>99.579790714476829</v>
      </c>
      <c r="F20" s="283">
        <v>94.190048448847961</v>
      </c>
      <c r="G20" s="283">
        <v>106.18899367807721</v>
      </c>
      <c r="H20" s="283">
        <v>100.29399414898597</v>
      </c>
      <c r="I20" s="283">
        <v>99.655419913695923</v>
      </c>
      <c r="J20" s="283">
        <v>97.750204447720691</v>
      </c>
      <c r="K20" s="283">
        <v>94.983328954693363</v>
      </c>
      <c r="L20" s="283">
        <v>93.924990381420116</v>
      </c>
      <c r="M20" s="283">
        <v>97.480523705633772</v>
      </c>
      <c r="N20" s="283">
        <v>103.24520926175352</v>
      </c>
      <c r="O20" s="283">
        <v>102.8075650839678</v>
      </c>
      <c r="P20" s="982">
        <v>104.65716966991484</v>
      </c>
    </row>
    <row r="21" spans="1:16" s="13" customFormat="1" ht="17.25" customHeight="1" x14ac:dyDescent="0.25">
      <c r="A21" s="503" t="s">
        <v>247</v>
      </c>
      <c r="B21" s="195">
        <v>100</v>
      </c>
      <c r="C21" s="104">
        <v>103.99813495758666</v>
      </c>
      <c r="D21" s="506">
        <v>105.98931092087615</v>
      </c>
      <c r="E21" s="506">
        <v>103.53127848268653</v>
      </c>
      <c r="F21" s="506">
        <v>100.04208972942338</v>
      </c>
      <c r="G21" s="506">
        <v>109.24218722880995</v>
      </c>
      <c r="H21" s="506">
        <v>105.84868190084623</v>
      </c>
      <c r="I21" s="506">
        <v>106.4770413841685</v>
      </c>
      <c r="J21" s="506">
        <v>101.83598548649489</v>
      </c>
      <c r="K21" s="506">
        <v>96.770218686985118</v>
      </c>
      <c r="L21" s="506">
        <v>104.57874869866276</v>
      </c>
      <c r="M21" s="506">
        <v>104.02195437700578</v>
      </c>
      <c r="N21" s="506">
        <v>107.24375420902265</v>
      </c>
      <c r="O21" s="506">
        <v>108.74770985704434</v>
      </c>
      <c r="P21" s="981">
        <v>105.18650138710791</v>
      </c>
    </row>
    <row r="22" spans="1:16" s="13" customFormat="1" ht="17.25" customHeight="1" x14ac:dyDescent="0.25">
      <c r="A22" s="199" t="s">
        <v>327</v>
      </c>
      <c r="B22" s="963"/>
      <c r="C22" s="964"/>
      <c r="D22" s="967"/>
      <c r="E22" s="967"/>
      <c r="F22" s="967"/>
      <c r="G22" s="967"/>
      <c r="H22" s="967"/>
      <c r="I22" s="967"/>
      <c r="J22" s="967"/>
      <c r="K22" s="967"/>
      <c r="L22" s="967"/>
      <c r="M22" s="967"/>
      <c r="N22" s="967"/>
      <c r="O22" s="1000"/>
      <c r="P22" s="997"/>
    </row>
    <row r="23" spans="1:16" s="13" customFormat="1" ht="17.25" customHeight="1" x14ac:dyDescent="0.25">
      <c r="A23" s="501" t="s">
        <v>248</v>
      </c>
      <c r="B23" s="184">
        <v>100</v>
      </c>
      <c r="C23" s="54">
        <v>98.082993122382618</v>
      </c>
      <c r="D23" s="505">
        <v>100.64369522711476</v>
      </c>
      <c r="E23" s="505">
        <v>101.15725165748266</v>
      </c>
      <c r="F23" s="505">
        <v>101.14430217715594</v>
      </c>
      <c r="G23" s="505">
        <v>93.639591328133733</v>
      </c>
      <c r="H23" s="505">
        <v>98.301004668023566</v>
      </c>
      <c r="I23" s="505">
        <v>95.518165662223538</v>
      </c>
      <c r="J23" s="505">
        <v>94.036783912659899</v>
      </c>
      <c r="K23" s="505">
        <v>96.746602332159057</v>
      </c>
      <c r="L23" s="505">
        <v>94.325169559784399</v>
      </c>
      <c r="M23" s="505">
        <v>96.152753542741607</v>
      </c>
      <c r="N23" s="505">
        <v>93.069647953626941</v>
      </c>
      <c r="O23" s="505">
        <v>96.827753695116883</v>
      </c>
      <c r="P23" s="459">
        <v>93.292387642467318</v>
      </c>
    </row>
    <row r="24" spans="1:16" s="167" customFormat="1" ht="17.25" customHeight="1" x14ac:dyDescent="0.25">
      <c r="A24" s="513" t="s">
        <v>328</v>
      </c>
      <c r="B24" s="201">
        <f>65+5.950051405</f>
        <v>70.950051404999996</v>
      </c>
      <c r="C24" s="61">
        <f>65+6.76853832252286</f>
        <v>71.768538322522858</v>
      </c>
      <c r="D24" s="321">
        <f>65+6.35697680633422</f>
        <v>71.356976806334217</v>
      </c>
      <c r="E24" s="321">
        <f>65+6.03071082157385</f>
        <v>71.030710821573848</v>
      </c>
      <c r="F24" s="321">
        <f>65+4.73298652020831</f>
        <v>69.732986520208314</v>
      </c>
      <c r="G24" s="321">
        <f>65+5.76676327337708</f>
        <v>70.76676327337708</v>
      </c>
      <c r="H24" s="321">
        <f>65+7.24877723177164</f>
        <v>72.248777231771641</v>
      </c>
      <c r="I24" s="321">
        <f>65+8.11211066964997</f>
        <v>73.112110669649965</v>
      </c>
      <c r="J24" s="321">
        <f>65+8.56536658382322</f>
        <v>73.56536658382322</v>
      </c>
      <c r="K24" s="321">
        <f>65+6.22715318804508</f>
        <v>71.227153188045079</v>
      </c>
      <c r="L24" s="321">
        <f>65+8.20977627464471</f>
        <v>73.20977627464471</v>
      </c>
      <c r="M24" s="321">
        <f>65+6.75428149480804</f>
        <v>71.754281494808041</v>
      </c>
      <c r="N24" s="321">
        <f>65+9.74948526910937</f>
        <v>74.749485269109371</v>
      </c>
      <c r="O24" s="321">
        <f>65+7.22981506795513</f>
        <v>72.22981506795513</v>
      </c>
      <c r="P24" s="980">
        <f>65+7.90448526910936</f>
        <v>72.904485269109358</v>
      </c>
    </row>
    <row r="25" spans="1:16" s="13" customFormat="1" ht="17.25" customHeight="1" x14ac:dyDescent="0.25">
      <c r="A25" s="503" t="s">
        <v>249</v>
      </c>
      <c r="B25" s="193">
        <v>100</v>
      </c>
      <c r="C25" s="57">
        <v>103.3076676517734</v>
      </c>
      <c r="D25" s="283">
        <v>99.770598446539964</v>
      </c>
      <c r="E25" s="283">
        <v>100.75257180756287</v>
      </c>
      <c r="F25" s="283">
        <v>92.448259518611607</v>
      </c>
      <c r="G25" s="283">
        <v>102.97214359859778</v>
      </c>
      <c r="H25" s="283">
        <v>104.87469316788143</v>
      </c>
      <c r="I25" s="283">
        <v>107.68618916716075</v>
      </c>
      <c r="J25" s="283">
        <v>109.40638480016993</v>
      </c>
      <c r="K25" s="283">
        <v>107.75235077401007</v>
      </c>
      <c r="L25" s="283">
        <v>104.96327683559008</v>
      </c>
      <c r="M25" s="283">
        <v>106.49679274410498</v>
      </c>
      <c r="N25" s="283">
        <v>110.30909280150834</v>
      </c>
      <c r="O25" s="283">
        <v>108.21340149683034</v>
      </c>
      <c r="P25" s="982">
        <v>106.31330294071581</v>
      </c>
    </row>
    <row r="26" spans="1:16" s="13" customFormat="1" ht="17.25" customHeight="1" x14ac:dyDescent="0.25">
      <c r="A26" s="529" t="s">
        <v>340</v>
      </c>
      <c r="B26" s="201">
        <f>65+7.90219787347759</f>
        <v>72.90219787347759</v>
      </c>
      <c r="C26" s="61">
        <f>65+8.12063044140406</f>
        <v>73.12063044140406</v>
      </c>
      <c r="D26" s="321">
        <f>65+9.72822547130201</f>
        <v>74.728225471302011</v>
      </c>
      <c r="E26" s="321">
        <f>65+6.80115061232355</f>
        <v>71.801150612323553</v>
      </c>
      <c r="F26" s="321">
        <f>65+9.12068300122515</f>
        <v>74.120683001225146</v>
      </c>
      <c r="G26" s="321">
        <f>65+7.81621219025486</f>
        <v>72.816212190254859</v>
      </c>
      <c r="H26" s="321">
        <f>65+9.40752708964168</f>
        <v>74.407527089641675</v>
      </c>
      <c r="I26" s="321">
        <f>65+6.60734189430075</f>
        <v>71.607341894300745</v>
      </c>
      <c r="J26" s="321">
        <f>65+6.66450973223509</f>
        <v>71.664509732235089</v>
      </c>
      <c r="K26" s="321">
        <f>65+7.14814211502842</f>
        <v>72.148142115028421</v>
      </c>
      <c r="L26" s="321">
        <f>65+8.41158842012466</f>
        <v>73.411588420124659</v>
      </c>
      <c r="M26" s="321">
        <f>65+6.6693851854734</f>
        <v>71.669385185473402</v>
      </c>
      <c r="N26" s="321">
        <f>65+9.66287219699605</f>
        <v>74.662872196996048</v>
      </c>
      <c r="O26" s="321">
        <f>65+7.7403849272864</f>
        <v>72.740384927286399</v>
      </c>
      <c r="P26" s="980">
        <f>65+7.46787219699604</f>
        <v>72.467872196996041</v>
      </c>
    </row>
    <row r="27" spans="1:16" s="13" customFormat="1" ht="17.25" customHeight="1" x14ac:dyDescent="0.25">
      <c r="A27" s="503" t="s">
        <v>250</v>
      </c>
      <c r="B27" s="193">
        <v>100</v>
      </c>
      <c r="C27" s="57">
        <v>103.29910071755006</v>
      </c>
      <c r="D27" s="283">
        <v>108.85809745529976</v>
      </c>
      <c r="E27" s="283">
        <v>100.77890576349998</v>
      </c>
      <c r="F27" s="283">
        <v>107.58083284910526</v>
      </c>
      <c r="G27" s="283">
        <v>101.22390553241183</v>
      </c>
      <c r="H27" s="283">
        <v>105.2568413032842</v>
      </c>
      <c r="I27" s="283">
        <v>100.10981222269007</v>
      </c>
      <c r="J27" s="283">
        <v>101.54209005814951</v>
      </c>
      <c r="K27" s="283">
        <v>97.827643631507215</v>
      </c>
      <c r="L27" s="283">
        <v>105.26436510621127</v>
      </c>
      <c r="M27" s="283">
        <v>100.89594182792933</v>
      </c>
      <c r="N27" s="283">
        <v>104.31614830771684</v>
      </c>
      <c r="O27" s="283">
        <v>100.71630740880271</v>
      </c>
      <c r="P27" s="982">
        <v>101.04342609971617</v>
      </c>
    </row>
    <row r="28" spans="1:16" s="13" customFormat="1" ht="17.25" customHeight="1" x14ac:dyDescent="0.25">
      <c r="A28" s="288" t="s">
        <v>341</v>
      </c>
      <c r="B28" s="205">
        <v>100</v>
      </c>
      <c r="C28" s="57">
        <v>103.05457809170387</v>
      </c>
      <c r="D28" s="506">
        <v>109.43431647520134</v>
      </c>
      <c r="E28" s="506">
        <v>105.09965370161819</v>
      </c>
      <c r="F28" s="506">
        <v>104.17958473069996</v>
      </c>
      <c r="G28" s="506">
        <v>102.46081732511223</v>
      </c>
      <c r="H28" s="507">
        <v>103.15470321680098</v>
      </c>
      <c r="I28" s="507">
        <v>104.0084266284582</v>
      </c>
      <c r="J28" s="506">
        <v>104.79174747034993</v>
      </c>
      <c r="K28" s="507">
        <v>96.296050379568442</v>
      </c>
      <c r="L28" s="507">
        <v>99.310066539187801</v>
      </c>
      <c r="M28" s="507">
        <v>100.54038376714352</v>
      </c>
      <c r="N28" s="507">
        <v>108.26905488840131</v>
      </c>
      <c r="O28" s="507">
        <v>102.95382306209612</v>
      </c>
      <c r="P28" s="985">
        <v>107.84219889718324</v>
      </c>
    </row>
    <row r="29" spans="1:16" s="13" customFormat="1" ht="17.25" customHeight="1" x14ac:dyDescent="0.25">
      <c r="A29" s="207" t="s">
        <v>11</v>
      </c>
      <c r="B29" s="957"/>
      <c r="C29" s="958"/>
      <c r="D29" s="974"/>
      <c r="E29" s="974"/>
      <c r="F29" s="974"/>
      <c r="G29" s="974"/>
      <c r="H29" s="974"/>
      <c r="I29" s="974"/>
      <c r="J29" s="974"/>
      <c r="K29" s="974"/>
      <c r="L29" s="974"/>
      <c r="M29" s="974"/>
      <c r="N29" s="974"/>
      <c r="O29" s="974"/>
      <c r="P29" s="975"/>
    </row>
    <row r="30" spans="1:16" s="13" customFormat="1" ht="17.25" customHeight="1" x14ac:dyDescent="0.25">
      <c r="A30" s="375" t="s">
        <v>310</v>
      </c>
      <c r="B30" s="208">
        <v>7.3282239349999996</v>
      </c>
      <c r="C30" s="206">
        <v>7.4022716187174957</v>
      </c>
      <c r="D30" s="313">
        <v>7.3880579343999315</v>
      </c>
      <c r="E30" s="313">
        <v>7.4707262786687405</v>
      </c>
      <c r="F30" s="313">
        <v>7.498504056982231</v>
      </c>
      <c r="G30" s="313" t="s">
        <v>232</v>
      </c>
      <c r="H30" s="313">
        <v>7.3915911429523575</v>
      </c>
      <c r="I30" s="313">
        <v>7.3468664069446241</v>
      </c>
      <c r="J30" s="313" t="s">
        <v>178</v>
      </c>
      <c r="K30" s="313">
        <v>7.3873929389068804</v>
      </c>
      <c r="L30" s="313">
        <v>7.3082578174537929</v>
      </c>
      <c r="M30" s="313">
        <v>7.3670758284514122</v>
      </c>
      <c r="N30" s="313" t="s">
        <v>179</v>
      </c>
      <c r="O30" s="313">
        <v>7.4267763734314114</v>
      </c>
      <c r="P30" s="986" t="s">
        <v>152</v>
      </c>
    </row>
    <row r="31" spans="1:16" s="13" customFormat="1" ht="17.25" customHeight="1" x14ac:dyDescent="0.25">
      <c r="A31" s="207" t="s">
        <v>12</v>
      </c>
      <c r="B31" s="957"/>
      <c r="C31" s="958"/>
      <c r="D31" s="959"/>
      <c r="E31" s="959"/>
      <c r="F31" s="959"/>
      <c r="G31" s="959"/>
      <c r="H31" s="959"/>
      <c r="I31" s="959"/>
      <c r="J31" s="959"/>
      <c r="K31" s="959"/>
      <c r="L31" s="959"/>
      <c r="M31" s="959"/>
      <c r="N31" s="959"/>
      <c r="O31" s="959"/>
      <c r="P31" s="962"/>
    </row>
    <row r="32" spans="1:16" s="13" customFormat="1" ht="17.25" customHeight="1" x14ac:dyDescent="0.25">
      <c r="A32" s="327" t="s">
        <v>314</v>
      </c>
      <c r="B32" s="212">
        <v>5.6178571428571447</v>
      </c>
      <c r="C32" s="145">
        <v>5.6</v>
      </c>
      <c r="D32" s="330">
        <v>5.0999999999999996</v>
      </c>
      <c r="E32" s="330">
        <v>5.6</v>
      </c>
      <c r="F32" s="330">
        <v>4.7</v>
      </c>
      <c r="G32" s="332">
        <v>6.2</v>
      </c>
      <c r="H32" s="330">
        <v>6.3</v>
      </c>
      <c r="I32" s="330">
        <v>6.3</v>
      </c>
      <c r="J32" s="330">
        <v>6.4</v>
      </c>
      <c r="K32" s="330">
        <v>5</v>
      </c>
      <c r="L32" s="330">
        <v>5.9</v>
      </c>
      <c r="M32" s="330">
        <v>7.1</v>
      </c>
      <c r="N32" s="330">
        <v>6.2</v>
      </c>
      <c r="O32" s="330">
        <v>5.9</v>
      </c>
      <c r="P32" s="987">
        <v>6.7</v>
      </c>
    </row>
    <row r="33" spans="1:16" s="13" customFormat="1" ht="17.25" customHeight="1" x14ac:dyDescent="0.25">
      <c r="A33" s="333" t="s">
        <v>342</v>
      </c>
      <c r="B33" s="215">
        <v>5.0571428571428569</v>
      </c>
      <c r="C33" s="145">
        <v>4.6000000000000005</v>
      </c>
      <c r="D33" s="321">
        <v>4.7</v>
      </c>
      <c r="E33" s="321">
        <v>5.0999999999999996</v>
      </c>
      <c r="F33" s="321">
        <v>5.3</v>
      </c>
      <c r="G33" s="303" t="s">
        <v>5</v>
      </c>
      <c r="H33" s="303">
        <v>4.2</v>
      </c>
      <c r="I33" s="321">
        <v>3.8</v>
      </c>
      <c r="J33" s="303">
        <v>4.5999999999999996</v>
      </c>
      <c r="K33" s="321">
        <v>4.4000000000000004</v>
      </c>
      <c r="L33" s="303">
        <v>4.3</v>
      </c>
      <c r="M33" s="321">
        <v>4.8</v>
      </c>
      <c r="N33" s="303">
        <v>7.1</v>
      </c>
      <c r="O33" s="321">
        <v>5</v>
      </c>
      <c r="P33" s="988">
        <v>6.6</v>
      </c>
    </row>
    <row r="34" spans="1:16" s="13" customFormat="1" ht="17.25" customHeight="1" x14ac:dyDescent="0.25">
      <c r="A34" s="326" t="s">
        <v>312</v>
      </c>
      <c r="B34" s="217">
        <v>6.411538461538461</v>
      </c>
      <c r="C34" s="145">
        <v>6.4374999999999991</v>
      </c>
      <c r="D34" s="313">
        <v>6.4</v>
      </c>
      <c r="E34" s="313">
        <v>5.2</v>
      </c>
      <c r="F34" s="313">
        <v>6.7</v>
      </c>
      <c r="G34" s="309" t="s">
        <v>240</v>
      </c>
      <c r="H34" s="309">
        <v>6.6</v>
      </c>
      <c r="I34" s="313">
        <v>6.7</v>
      </c>
      <c r="J34" s="309" t="s">
        <v>5</v>
      </c>
      <c r="K34" s="313">
        <v>5.2</v>
      </c>
      <c r="L34" s="309">
        <v>7.3</v>
      </c>
      <c r="M34" s="313">
        <v>6.2</v>
      </c>
      <c r="N34" s="309" t="s">
        <v>5</v>
      </c>
      <c r="O34" s="313">
        <v>7.4</v>
      </c>
      <c r="P34" s="989" t="s">
        <v>5</v>
      </c>
    </row>
    <row r="35" spans="1:16" ht="10" customHeight="1" x14ac:dyDescent="0.25">
      <c r="A35" s="937"/>
      <c r="B35" s="1001"/>
      <c r="C35" s="938"/>
      <c r="D35" s="1002"/>
      <c r="E35" s="1002"/>
      <c r="F35" s="1002"/>
      <c r="G35" s="1002"/>
      <c r="H35" s="1002"/>
      <c r="I35" s="1003"/>
      <c r="J35" s="1002"/>
      <c r="K35" s="1002"/>
      <c r="L35" s="1003"/>
      <c r="M35" s="1003"/>
      <c r="N35" s="1003"/>
      <c r="O35" s="1004"/>
      <c r="P35" s="1005"/>
    </row>
    <row r="36" spans="1:16" s="13" customFormat="1" ht="17.25" customHeight="1" x14ac:dyDescent="0.25">
      <c r="A36" s="118" t="s">
        <v>285</v>
      </c>
      <c r="B36" s="1222"/>
      <c r="C36" s="1222"/>
      <c r="D36" s="279">
        <v>2018</v>
      </c>
      <c r="E36" s="279">
        <v>2014</v>
      </c>
      <c r="F36" s="279">
        <v>2014</v>
      </c>
      <c r="G36" s="279">
        <v>2023</v>
      </c>
      <c r="H36" s="279">
        <v>2016</v>
      </c>
      <c r="I36" s="338">
        <v>2008</v>
      </c>
      <c r="J36" s="279">
        <v>2022</v>
      </c>
      <c r="K36" s="279">
        <v>2014</v>
      </c>
      <c r="L36" s="279">
        <v>2016</v>
      </c>
      <c r="M36" s="279">
        <v>2018</v>
      </c>
      <c r="N36" s="279">
        <v>2024</v>
      </c>
      <c r="O36" s="279">
        <v>2011</v>
      </c>
      <c r="P36" s="461">
        <v>2024</v>
      </c>
    </row>
    <row r="37" spans="1:16" s="13" customFormat="1" ht="30" customHeight="1" x14ac:dyDescent="0.25">
      <c r="A37" s="1191"/>
      <c r="B37" s="1223"/>
      <c r="C37" s="1223"/>
      <c r="D37" s="1199" t="s">
        <v>370</v>
      </c>
      <c r="E37" s="1199" t="s">
        <v>379</v>
      </c>
      <c r="F37" s="1199" t="s">
        <v>370</v>
      </c>
      <c r="G37" s="1199" t="s">
        <v>380</v>
      </c>
      <c r="H37" s="1199" t="s">
        <v>383</v>
      </c>
      <c r="I37" s="1199" t="s">
        <v>383</v>
      </c>
      <c r="J37" s="1199" t="s">
        <v>379</v>
      </c>
      <c r="K37" s="1199" t="s">
        <v>383</v>
      </c>
      <c r="L37" s="1199" t="s">
        <v>370</v>
      </c>
      <c r="M37" s="1199" t="s">
        <v>379</v>
      </c>
      <c r="N37" s="1199" t="s">
        <v>383</v>
      </c>
      <c r="O37" s="1199" t="s">
        <v>383</v>
      </c>
      <c r="P37" s="1199" t="s">
        <v>379</v>
      </c>
    </row>
    <row r="38" spans="1:16" s="13" customFormat="1" ht="28.5" customHeight="1" x14ac:dyDescent="0.25">
      <c r="A38" s="1191"/>
      <c r="B38" s="1225"/>
      <c r="C38" s="1225"/>
      <c r="D38" s="1199" t="s">
        <v>378</v>
      </c>
      <c r="E38" s="1199" t="s">
        <v>374</v>
      </c>
      <c r="F38" s="1199" t="s">
        <v>378</v>
      </c>
      <c r="G38" s="1199" t="s">
        <v>381</v>
      </c>
      <c r="H38" s="338" t="s">
        <v>376</v>
      </c>
      <c r="I38" s="338" t="s">
        <v>376</v>
      </c>
      <c r="J38" s="1199" t="s">
        <v>382</v>
      </c>
      <c r="K38" s="338" t="s">
        <v>376</v>
      </c>
      <c r="L38" s="1199" t="s">
        <v>378</v>
      </c>
      <c r="M38" s="1199" t="s">
        <v>374</v>
      </c>
      <c r="N38" s="338" t="s">
        <v>376</v>
      </c>
      <c r="O38" s="338" t="s">
        <v>376</v>
      </c>
      <c r="P38" s="1199" t="s">
        <v>374</v>
      </c>
    </row>
    <row r="39" spans="1:16" s="13" customFormat="1" ht="17.25" customHeight="1" x14ac:dyDescent="0.25">
      <c r="A39" s="220" t="s">
        <v>6</v>
      </c>
      <c r="B39" s="945"/>
      <c r="C39" s="946"/>
      <c r="D39" s="1198"/>
      <c r="E39" s="1198"/>
      <c r="F39" s="1198"/>
      <c r="G39" s="1198"/>
      <c r="H39" s="1198"/>
      <c r="I39" s="1031"/>
      <c r="J39" s="1198"/>
      <c r="K39" s="1198"/>
      <c r="L39" s="1010"/>
      <c r="M39" s="1010"/>
      <c r="N39" s="1010"/>
      <c r="O39" s="1010"/>
      <c r="P39" s="1011"/>
    </row>
    <row r="40" spans="1:16" s="13" customFormat="1" ht="17.25" customHeight="1" x14ac:dyDescent="0.25">
      <c r="A40" s="211" t="s">
        <v>19</v>
      </c>
      <c r="B40" s="947"/>
      <c r="C40" s="948"/>
      <c r="D40" s="353">
        <v>17</v>
      </c>
      <c r="E40" s="353">
        <v>12</v>
      </c>
      <c r="F40" s="353">
        <v>12</v>
      </c>
      <c r="G40" s="353">
        <v>6</v>
      </c>
      <c r="H40" s="353">
        <v>11</v>
      </c>
      <c r="I40" s="353">
        <v>24</v>
      </c>
      <c r="J40" s="353">
        <v>9</v>
      </c>
      <c r="K40" s="353">
        <v>12</v>
      </c>
      <c r="L40" s="990">
        <v>11</v>
      </c>
      <c r="M40" s="991">
        <v>12</v>
      </c>
      <c r="N40" s="990">
        <v>6</v>
      </c>
      <c r="O40" s="353">
        <v>10</v>
      </c>
      <c r="P40" s="992">
        <v>6</v>
      </c>
    </row>
    <row r="41" spans="1:16" s="13" customFormat="1" ht="17.25" customHeight="1" x14ac:dyDescent="0.25">
      <c r="A41" s="214" t="s">
        <v>20</v>
      </c>
      <c r="B41" s="949"/>
      <c r="C41" s="950"/>
      <c r="D41" s="354">
        <v>14</v>
      </c>
      <c r="E41" s="354">
        <v>12</v>
      </c>
      <c r="F41" s="354">
        <v>12</v>
      </c>
      <c r="G41" s="354">
        <v>6</v>
      </c>
      <c r="H41" s="354">
        <v>12</v>
      </c>
      <c r="I41" s="354">
        <v>23</v>
      </c>
      <c r="J41" s="354">
        <v>6</v>
      </c>
      <c r="K41" s="354">
        <v>12</v>
      </c>
      <c r="L41" s="354">
        <v>12</v>
      </c>
      <c r="M41" s="354">
        <v>11</v>
      </c>
      <c r="N41" s="354">
        <v>6</v>
      </c>
      <c r="O41" s="354">
        <v>12</v>
      </c>
      <c r="P41" s="993">
        <v>6</v>
      </c>
    </row>
    <row r="42" spans="1:16" s="13" customFormat="1" ht="17.25" customHeight="1" thickBot="1" x14ac:dyDescent="0.3">
      <c r="A42" s="127" t="s">
        <v>21</v>
      </c>
      <c r="B42" s="1006"/>
      <c r="C42" s="1007"/>
      <c r="D42" s="355">
        <v>12</v>
      </c>
      <c r="E42" s="355">
        <v>11</v>
      </c>
      <c r="F42" s="355">
        <v>11</v>
      </c>
      <c r="G42" s="355">
        <v>6</v>
      </c>
      <c r="H42" s="355">
        <v>11</v>
      </c>
      <c r="I42" s="355">
        <v>22</v>
      </c>
      <c r="J42" s="355">
        <v>6</v>
      </c>
      <c r="K42" s="355">
        <v>11</v>
      </c>
      <c r="L42" s="355">
        <v>11</v>
      </c>
      <c r="M42" s="355">
        <v>8</v>
      </c>
      <c r="N42" s="355">
        <v>6</v>
      </c>
      <c r="O42" s="355">
        <v>12</v>
      </c>
      <c r="P42" s="994">
        <v>6</v>
      </c>
    </row>
    <row r="43" spans="1:16" x14ac:dyDescent="0.25">
      <c r="A43" s="153"/>
      <c r="B43" s="154"/>
      <c r="C43" s="154"/>
      <c r="D43" s="154"/>
      <c r="E43" s="154"/>
      <c r="F43" s="154"/>
      <c r="G43" s="154"/>
      <c r="H43" s="154"/>
      <c r="I43" s="604"/>
      <c r="J43" s="154"/>
      <c r="K43" s="154"/>
      <c r="L43" s="154"/>
      <c r="M43" s="154"/>
      <c r="N43" s="604"/>
      <c r="O43" s="154"/>
      <c r="P43" s="604"/>
    </row>
  </sheetData>
  <mergeCells count="2">
    <mergeCell ref="B36:B38"/>
    <mergeCell ref="C36:C38"/>
  </mergeCells>
  <phoneticPr fontId="6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84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2">
    <pageSetUpPr fitToPage="1"/>
  </sheetPr>
  <dimension ref="A1:U66"/>
  <sheetViews>
    <sheetView zoomScale="93" zoomScaleNormal="93" workbookViewId="0">
      <pane xSplit="12" ySplit="12" topLeftCell="M13" activePane="bottomRight" state="frozen"/>
      <selection pane="topRight" activeCell="M1" sqref="M1"/>
      <selection pane="bottomLeft" activeCell="A13" sqref="A13"/>
      <selection pane="bottomRight" activeCell="J44" sqref="J44"/>
    </sheetView>
  </sheetViews>
  <sheetFormatPr defaultColWidth="9.08984375" defaultRowHeight="12.5" x14ac:dyDescent="0.25"/>
  <cols>
    <col min="1" max="1" width="44.36328125" customWidth="1"/>
    <col min="2" max="3" width="9" style="43" customWidth="1"/>
    <col min="4" max="6" width="8.08984375" style="43" customWidth="1"/>
    <col min="7" max="7" width="8.6328125" style="43" customWidth="1"/>
    <col min="8" max="8" width="8.08984375" style="43" customWidth="1"/>
    <col min="9" max="9" width="10.453125" style="43" customWidth="1"/>
    <col min="10" max="10" width="8.08984375" style="43" customWidth="1"/>
    <col min="11" max="11" width="8.36328125" style="43" customWidth="1"/>
    <col min="12" max="19" width="8.08984375" style="43" customWidth="1"/>
    <col min="20" max="20" width="3.08984375" customWidth="1"/>
  </cols>
  <sheetData>
    <row r="1" spans="1:19" ht="14.5" thickBot="1" x14ac:dyDescent="0.35">
      <c r="A1" s="19" t="s">
        <v>347</v>
      </c>
      <c r="B1" s="45"/>
      <c r="C1" s="45"/>
      <c r="D1" s="2"/>
      <c r="E1" s="2"/>
      <c r="F1" s="2"/>
      <c r="G1" s="3"/>
      <c r="H1" s="2"/>
      <c r="I1" s="2"/>
      <c r="J1" s="2"/>
      <c r="K1" s="2"/>
      <c r="L1" s="3"/>
      <c r="M1" s="3"/>
      <c r="N1" s="3"/>
      <c r="O1" s="3"/>
    </row>
    <row r="2" spans="1:19" ht="92.5" customHeight="1" x14ac:dyDescent="0.25">
      <c r="A2" s="106"/>
      <c r="B2" s="27" t="s">
        <v>88</v>
      </c>
      <c r="C2" s="27" t="s">
        <v>346</v>
      </c>
      <c r="D2" s="316" t="s">
        <v>114</v>
      </c>
      <c r="E2" s="317" t="s">
        <v>115</v>
      </c>
      <c r="F2" s="316" t="s">
        <v>177</v>
      </c>
      <c r="G2" s="316" t="s">
        <v>176</v>
      </c>
      <c r="H2" s="317" t="s">
        <v>116</v>
      </c>
      <c r="I2" s="351" t="s">
        <v>150</v>
      </c>
      <c r="J2" s="316" t="s">
        <v>158</v>
      </c>
      <c r="K2" s="316" t="s">
        <v>149</v>
      </c>
      <c r="L2" s="316" t="s">
        <v>117</v>
      </c>
      <c r="M2" s="317" t="s">
        <v>145</v>
      </c>
      <c r="N2" s="595" t="s">
        <v>118</v>
      </c>
      <c r="O2" s="317" t="s">
        <v>144</v>
      </c>
      <c r="P2" s="318" t="s">
        <v>119</v>
      </c>
      <c r="Q2" s="317" t="s">
        <v>121</v>
      </c>
      <c r="R2" s="316" t="s">
        <v>120</v>
      </c>
      <c r="S2" s="454" t="s">
        <v>122</v>
      </c>
    </row>
    <row r="3" spans="1:19" ht="30.65" customHeight="1" x14ac:dyDescent="0.25">
      <c r="A3" s="20" t="s">
        <v>269</v>
      </c>
      <c r="B3" s="814"/>
      <c r="C3" s="814"/>
      <c r="D3" s="278" t="s">
        <v>4</v>
      </c>
      <c r="E3" s="278" t="s">
        <v>1</v>
      </c>
      <c r="F3" s="278" t="s">
        <v>2</v>
      </c>
      <c r="G3" s="278" t="s">
        <v>2</v>
      </c>
      <c r="H3" s="278" t="s">
        <v>1</v>
      </c>
      <c r="I3" s="278" t="s">
        <v>2</v>
      </c>
      <c r="J3" s="278" t="s">
        <v>2</v>
      </c>
      <c r="K3" s="278" t="s">
        <v>2</v>
      </c>
      <c r="L3" s="278" t="s">
        <v>3</v>
      </c>
      <c r="M3" s="278" t="s">
        <v>2</v>
      </c>
      <c r="N3" s="278" t="s">
        <v>1</v>
      </c>
      <c r="O3" s="278" t="s">
        <v>2</v>
      </c>
      <c r="P3" s="278" t="s">
        <v>4</v>
      </c>
      <c r="Q3" s="278" t="s">
        <v>2</v>
      </c>
      <c r="R3" s="278" t="s">
        <v>4</v>
      </c>
      <c r="S3" s="455" t="s">
        <v>4</v>
      </c>
    </row>
    <row r="4" spans="1:19" s="13" customFormat="1" ht="13.5" customHeight="1" x14ac:dyDescent="0.25">
      <c r="A4" s="230" t="s">
        <v>7</v>
      </c>
      <c r="B4" s="1024"/>
      <c r="C4" s="1024"/>
      <c r="D4" s="1184">
        <v>141.58199999999999</v>
      </c>
      <c r="E4" s="1184">
        <v>143.41399999999999</v>
      </c>
      <c r="F4" s="1184">
        <v>143.619</v>
      </c>
      <c r="G4" s="1184">
        <v>143.9</v>
      </c>
      <c r="H4" s="1184">
        <v>143.947</v>
      </c>
      <c r="I4" s="1184">
        <v>144.13999999999999</v>
      </c>
      <c r="J4" s="1184">
        <v>144.214</v>
      </c>
      <c r="K4" s="1184">
        <v>146.59199999999998</v>
      </c>
      <c r="L4" s="1184">
        <v>147.51400000000001</v>
      </c>
      <c r="M4" s="1184">
        <v>148.56299999999999</v>
      </c>
      <c r="N4" s="1184">
        <v>150.10599999999999</v>
      </c>
      <c r="O4" s="1184">
        <v>150.61700000000002</v>
      </c>
      <c r="P4" s="1184">
        <v>151.03100000000001</v>
      </c>
      <c r="Q4" s="1184">
        <v>151.078</v>
      </c>
      <c r="R4" s="1184">
        <v>151.489</v>
      </c>
      <c r="S4" s="1184">
        <v>152.02199999999999</v>
      </c>
    </row>
    <row r="5" spans="1:19" s="13" customFormat="1" ht="17.25" customHeight="1" x14ac:dyDescent="0.25">
      <c r="A5" s="108" t="s">
        <v>9</v>
      </c>
      <c r="B5" s="796"/>
      <c r="C5" s="796"/>
      <c r="D5" s="1025"/>
      <c r="E5" s="1025"/>
      <c r="F5" s="1025"/>
      <c r="G5" s="1025"/>
      <c r="H5" s="1025"/>
      <c r="I5" s="1026"/>
      <c r="J5" s="1026"/>
      <c r="K5" s="1026"/>
      <c r="L5" s="1025"/>
      <c r="M5" s="1025"/>
      <c r="N5" s="1025"/>
      <c r="O5" s="1025"/>
      <c r="P5" s="1025"/>
      <c r="Q5" s="1025"/>
      <c r="R5" s="1025"/>
      <c r="S5" s="1027"/>
    </row>
    <row r="6" spans="1:19" s="13" customFormat="1" ht="17.25" customHeight="1" x14ac:dyDescent="0.25">
      <c r="A6" s="284" t="s">
        <v>241</v>
      </c>
      <c r="B6" s="184">
        <v>100</v>
      </c>
      <c r="C6" s="54">
        <v>99.400460681715728</v>
      </c>
      <c r="D6" s="505">
        <v>100.47043093540331</v>
      </c>
      <c r="E6" s="505">
        <v>97.570723488915192</v>
      </c>
      <c r="F6" s="505">
        <v>98.526468289450307</v>
      </c>
      <c r="G6" s="505">
        <v>99.503609915210859</v>
      </c>
      <c r="H6" s="505">
        <v>97.851855470398846</v>
      </c>
      <c r="I6" s="505">
        <v>98.752899338390534</v>
      </c>
      <c r="J6" s="505">
        <v>104.30900145069195</v>
      </c>
      <c r="K6" s="505">
        <v>102.27622123111573</v>
      </c>
      <c r="L6" s="505">
        <v>99.158324819905573</v>
      </c>
      <c r="M6" s="505">
        <v>99.383486065789668</v>
      </c>
      <c r="N6" s="505">
        <v>105.07660424644592</v>
      </c>
      <c r="O6" s="505">
        <v>97.940081038338533</v>
      </c>
      <c r="P6" s="505">
        <v>100.26544516087722</v>
      </c>
      <c r="Q6" s="1014">
        <v>95.70744861215168</v>
      </c>
      <c r="R6" s="1014">
        <v>95.876578551756026</v>
      </c>
      <c r="S6" s="459">
        <v>95.167704788253815</v>
      </c>
    </row>
    <row r="7" spans="1:19" s="13" customFormat="1" ht="17.25" customHeight="1" x14ac:dyDescent="0.25">
      <c r="A7" s="513" t="s">
        <v>265</v>
      </c>
      <c r="B7" s="187">
        <f>65+11.74125523</f>
        <v>76.741255230000007</v>
      </c>
      <c r="C7" s="61">
        <f>65+12.2265362484356</f>
        <v>77.226536248435593</v>
      </c>
      <c r="D7" s="321">
        <f>65+11.5661295561347</f>
        <v>76.566129556134698</v>
      </c>
      <c r="E7" s="321">
        <f>65+11.9201902032335</f>
        <v>76.920190203233503</v>
      </c>
      <c r="F7" s="321">
        <f>65+12.2751254692475</f>
        <v>77.275125469247499</v>
      </c>
      <c r="G7" s="321">
        <f>65+11.8184971189393</f>
        <v>76.818497118939305</v>
      </c>
      <c r="H7" s="321">
        <f>65+11.3455227034746</f>
        <v>76.3455227034746</v>
      </c>
      <c r="I7" s="321">
        <f>65+13.5701827739318</f>
        <v>78.570182773931805</v>
      </c>
      <c r="J7" s="321">
        <f>65+11.6738389428092</f>
        <v>76.673838942809198</v>
      </c>
      <c r="K7" s="321">
        <f>65+10.5965564270803</f>
        <v>75.596556427080301</v>
      </c>
      <c r="L7" s="321">
        <f>65+12.2069831948346</f>
        <v>77.206983194834606</v>
      </c>
      <c r="M7" s="321">
        <f>65+11.8931998049529</f>
        <v>76.8931998049529</v>
      </c>
      <c r="N7" s="321">
        <f>65+13.6291270776539</f>
        <v>78.629127077653905</v>
      </c>
      <c r="O7" s="321">
        <f>65+10.9494397439124</f>
        <v>75.949439743912393</v>
      </c>
      <c r="P7" s="321">
        <f>65+12.0658444911638</f>
        <v>77.065844491163801</v>
      </c>
      <c r="Q7" s="1015">
        <f>65+11.7339162759214</f>
        <v>76.733916275921402</v>
      </c>
      <c r="R7" s="1015">
        <f>65+10.080819270837</f>
        <v>75.080819270836997</v>
      </c>
      <c r="S7" s="980">
        <f>65+12.8324034589532</f>
        <v>77.832403458953195</v>
      </c>
    </row>
    <row r="8" spans="1:19" s="140" customFormat="1" ht="17.25" customHeight="1" x14ac:dyDescent="0.25">
      <c r="A8" s="287" t="s">
        <v>345</v>
      </c>
      <c r="B8" s="133">
        <v>100</v>
      </c>
      <c r="C8" s="133">
        <v>99.719676967083899</v>
      </c>
      <c r="D8" s="322">
        <v>100.16294976283552</v>
      </c>
      <c r="E8" s="322">
        <v>97.27937115895908</v>
      </c>
      <c r="F8" s="322">
        <v>98.988993156039044</v>
      </c>
      <c r="G8" s="322">
        <v>99.193964602714217</v>
      </c>
      <c r="H8" s="322">
        <v>97.093380297316671</v>
      </c>
      <c r="I8" s="322">
        <v>100.80631670482434</v>
      </c>
      <c r="J8" s="322">
        <v>103.86050697318868</v>
      </c>
      <c r="K8" s="322">
        <v>100.47786869142884</v>
      </c>
      <c r="L8" s="322">
        <v>99.462790641100639</v>
      </c>
      <c r="M8" s="322">
        <v>99.489056693978199</v>
      </c>
      <c r="N8" s="322">
        <v>107.23309593025688</v>
      </c>
      <c r="O8" s="322">
        <v>96.837456702996789</v>
      </c>
      <c r="P8" s="322">
        <v>100.41983345005522</v>
      </c>
      <c r="Q8" s="720">
        <v>95.283878206901775</v>
      </c>
      <c r="R8" s="720">
        <v>93.615649597144511</v>
      </c>
      <c r="S8" s="722">
        <v>96.129431203079932</v>
      </c>
    </row>
    <row r="9" spans="1:19" s="13" customFormat="1" ht="17.25" customHeight="1" x14ac:dyDescent="0.25">
      <c r="A9" s="286" t="s">
        <v>323</v>
      </c>
      <c r="B9" s="231">
        <v>69.328283760000005</v>
      </c>
      <c r="C9" s="104">
        <v>63.706529856930935</v>
      </c>
      <c r="D9" s="506">
        <v>60.400548566485938</v>
      </c>
      <c r="E9" s="506">
        <v>65.275029490161657</v>
      </c>
      <c r="F9" s="506">
        <v>58.802561704502985</v>
      </c>
      <c r="G9" s="506">
        <v>64.624300737043257</v>
      </c>
      <c r="H9" s="506">
        <v>66.488441077865346</v>
      </c>
      <c r="I9" s="506">
        <v>59.349436869364951</v>
      </c>
      <c r="J9" s="506">
        <v>59.646508982399347</v>
      </c>
      <c r="K9" s="506">
        <v>69.961936647375538</v>
      </c>
      <c r="L9" s="506">
        <v>66.330866839900025</v>
      </c>
      <c r="M9" s="506">
        <v>64.096671131214379</v>
      </c>
      <c r="N9" s="506">
        <v>65.685441153000511</v>
      </c>
      <c r="O9" s="506">
        <v>64.479398440451888</v>
      </c>
      <c r="P9" s="506">
        <v>61.445501245857429</v>
      </c>
      <c r="Q9" s="1016">
        <v>65.662193978096795</v>
      </c>
      <c r="R9" s="1016">
        <v>61.50740053412688</v>
      </c>
      <c r="S9" s="981">
        <v>62.944217608214707</v>
      </c>
    </row>
    <row r="10" spans="1:19" s="13" customFormat="1" ht="17.25" customHeight="1" x14ac:dyDescent="0.25">
      <c r="A10" s="108" t="s">
        <v>10</v>
      </c>
      <c r="B10" s="973"/>
      <c r="C10" s="796"/>
      <c r="D10" s="974"/>
      <c r="E10" s="974"/>
      <c r="F10" s="974"/>
      <c r="G10" s="974"/>
      <c r="H10" s="974"/>
      <c r="I10" s="974"/>
      <c r="J10" s="974"/>
      <c r="K10" s="974"/>
      <c r="L10" s="974"/>
      <c r="M10" s="974"/>
      <c r="N10" s="974"/>
      <c r="O10" s="974"/>
      <c r="P10" s="974"/>
      <c r="Q10" s="974"/>
      <c r="R10" s="974"/>
      <c r="S10" s="975"/>
    </row>
    <row r="11" spans="1:19" s="13" customFormat="1" ht="17.25" customHeight="1" x14ac:dyDescent="0.25">
      <c r="A11" s="285" t="s">
        <v>242</v>
      </c>
      <c r="B11" s="193">
        <v>100</v>
      </c>
      <c r="C11" s="57">
        <v>104.4122909216357</v>
      </c>
      <c r="D11" s="283">
        <v>107.29279379242145</v>
      </c>
      <c r="E11" s="283">
        <v>108.05366123481603</v>
      </c>
      <c r="F11" s="283">
        <v>106.85077812899813</v>
      </c>
      <c r="G11" s="283">
        <v>109.10035827002437</v>
      </c>
      <c r="H11" s="283">
        <v>101.81804311858403</v>
      </c>
      <c r="I11" s="283">
        <v>103.36305460979125</v>
      </c>
      <c r="J11" s="283">
        <v>107.06112307007955</v>
      </c>
      <c r="K11" s="283">
        <v>104.41086297109473</v>
      </c>
      <c r="L11" s="283">
        <v>100.98610618965088</v>
      </c>
      <c r="M11" s="283">
        <v>103.21838480087406</v>
      </c>
      <c r="N11" s="283">
        <v>106.1094912195252</v>
      </c>
      <c r="O11" s="283">
        <v>102.59603160811868</v>
      </c>
      <c r="P11" s="283">
        <v>102.67367503372419</v>
      </c>
      <c r="Q11" s="1017">
        <v>102.31061684040768</v>
      </c>
      <c r="R11" s="1017">
        <v>105.4021401181169</v>
      </c>
      <c r="S11" s="982">
        <v>100.52608113074325</v>
      </c>
    </row>
    <row r="12" spans="1:19" s="13" customFormat="1" ht="27" customHeight="1" x14ac:dyDescent="0.25">
      <c r="A12" s="304" t="s">
        <v>336</v>
      </c>
      <c r="B12" s="98">
        <v>100</v>
      </c>
      <c r="C12" s="133">
        <v>105.71233339902842</v>
      </c>
      <c r="D12" s="322">
        <v>106.2533030968219</v>
      </c>
      <c r="E12" s="322">
        <v>109.79001147033615</v>
      </c>
      <c r="F12" s="322">
        <v>107.22433247571163</v>
      </c>
      <c r="G12" s="322">
        <v>110.93726367557487</v>
      </c>
      <c r="H12" s="322">
        <v>103.84976074993621</v>
      </c>
      <c r="I12" s="322">
        <v>106.55126169173495</v>
      </c>
      <c r="J12" s="322">
        <v>108.4069997024574</v>
      </c>
      <c r="K12" s="322">
        <v>105.23720050520764</v>
      </c>
      <c r="L12" s="322">
        <v>102.40984760356484</v>
      </c>
      <c r="M12" s="322">
        <v>106.04804979826062</v>
      </c>
      <c r="N12" s="322">
        <v>106.19397415003269</v>
      </c>
      <c r="O12" s="322">
        <v>103.91531481048911</v>
      </c>
      <c r="P12" s="322">
        <v>103.32141013429758</v>
      </c>
      <c r="Q12" s="720">
        <v>103.99422066967232</v>
      </c>
      <c r="R12" s="401">
        <v>109.35330605210973</v>
      </c>
      <c r="S12" s="722">
        <v>104.86554079274599</v>
      </c>
    </row>
    <row r="13" spans="1:19" s="13" customFormat="1" ht="18" customHeight="1" x14ac:dyDescent="0.25">
      <c r="A13" s="503" t="s">
        <v>243</v>
      </c>
      <c r="B13" s="193">
        <v>100</v>
      </c>
      <c r="C13" s="57">
        <v>101.24698658383602</v>
      </c>
      <c r="D13" s="283">
        <v>104.95293870221126</v>
      </c>
      <c r="E13" s="283">
        <v>103.6527420412074</v>
      </c>
      <c r="F13" s="283">
        <v>105.75960958939827</v>
      </c>
      <c r="G13" s="283">
        <v>105.90912027145157</v>
      </c>
      <c r="H13" s="283">
        <v>102.65540849652086</v>
      </c>
      <c r="I13" s="283">
        <v>102.11231656616134</v>
      </c>
      <c r="J13" s="283">
        <v>104.27069605656138</v>
      </c>
      <c r="K13" s="283">
        <v>102.80152537629682</v>
      </c>
      <c r="L13" s="506">
        <v>95.640907039843455</v>
      </c>
      <c r="M13" s="283">
        <v>100.0069192842863</v>
      </c>
      <c r="N13" s="322">
        <v>101.50804355459346</v>
      </c>
      <c r="O13" s="322">
        <v>99.194571833406641</v>
      </c>
      <c r="P13" s="283">
        <v>101.2606808134218</v>
      </c>
      <c r="Q13" s="1017">
        <v>100.39287226809442</v>
      </c>
      <c r="R13" s="1017">
        <v>101.26680642489268</v>
      </c>
      <c r="S13" s="982">
        <v>93.452105895061308</v>
      </c>
    </row>
    <row r="14" spans="1:19" s="13" customFormat="1" ht="18" customHeight="1" x14ac:dyDescent="0.25">
      <c r="A14" s="306" t="s">
        <v>244</v>
      </c>
      <c r="B14" s="195">
        <v>100</v>
      </c>
      <c r="C14" s="198">
        <v>102.8653755300723</v>
      </c>
      <c r="D14" s="538">
        <v>106.17373266232093</v>
      </c>
      <c r="E14" s="538">
        <v>105.92907955514292</v>
      </c>
      <c r="F14" s="538">
        <v>106.46565982090407</v>
      </c>
      <c r="G14" s="506">
        <v>107.50473927073797</v>
      </c>
      <c r="H14" s="538">
        <v>102.2199784999937</v>
      </c>
      <c r="I14" s="538">
        <v>102.921617653216</v>
      </c>
      <c r="J14" s="538">
        <v>105.94495226467228</v>
      </c>
      <c r="K14" s="538">
        <v>103.84286146704841</v>
      </c>
      <c r="L14" s="538">
        <v>98.610462123069809</v>
      </c>
      <c r="M14" s="538">
        <v>101.77322531840956</v>
      </c>
      <c r="N14" s="538">
        <v>103.90079634035796</v>
      </c>
      <c r="O14" s="538">
        <v>101.06537470949827</v>
      </c>
      <c r="P14" s="538">
        <v>101.97957260971599</v>
      </c>
      <c r="Q14" s="538">
        <v>101.39343465364917</v>
      </c>
      <c r="R14" s="538">
        <v>103.4821637605485</v>
      </c>
      <c r="S14" s="1023">
        <v>96.989093512902286</v>
      </c>
    </row>
    <row r="15" spans="1:19" s="13" customFormat="1" ht="17.25" customHeight="1" x14ac:dyDescent="0.25">
      <c r="A15" s="286" t="s">
        <v>324</v>
      </c>
      <c r="B15" s="193">
        <v>65.824922619999995</v>
      </c>
      <c r="C15" s="57">
        <v>61.105241421523864</v>
      </c>
      <c r="D15" s="931">
        <v>60.185486224959909</v>
      </c>
      <c r="E15" s="931">
        <v>62.418503424944156</v>
      </c>
      <c r="F15" s="931">
        <v>58.899311288769781</v>
      </c>
      <c r="G15" s="931">
        <v>62.94005087770892</v>
      </c>
      <c r="H15" s="931">
        <v>64.944470362046886</v>
      </c>
      <c r="I15" s="931">
        <v>59.107644622103116</v>
      </c>
      <c r="J15" s="931">
        <v>59.783344322741883</v>
      </c>
      <c r="K15" s="931">
        <v>66.552144622103128</v>
      </c>
      <c r="L15" s="931">
        <v>63.263462962748513</v>
      </c>
      <c r="M15" s="931">
        <v>64.141395750933128</v>
      </c>
      <c r="N15" s="931">
        <v>61.193288735633523</v>
      </c>
      <c r="O15" s="931">
        <v>64.581840195377595</v>
      </c>
      <c r="P15" s="283">
        <v>59.602650541125129</v>
      </c>
      <c r="Q15" s="1018">
        <v>62.300082566868063</v>
      </c>
      <c r="R15" s="1018">
        <v>62.775995763311542</v>
      </c>
      <c r="S15" s="982">
        <v>58.287049240433561</v>
      </c>
    </row>
    <row r="16" spans="1:19" s="13" customFormat="1" ht="17.25" customHeight="1" x14ac:dyDescent="0.25">
      <c r="A16" s="192" t="s">
        <v>8</v>
      </c>
      <c r="B16" s="969"/>
      <c r="C16" s="970"/>
      <c r="D16" s="967"/>
      <c r="E16" s="967"/>
      <c r="F16" s="967"/>
      <c r="G16" s="967"/>
      <c r="H16" s="967"/>
      <c r="I16" s="967"/>
      <c r="J16" s="967"/>
      <c r="K16" s="967"/>
      <c r="L16" s="967"/>
      <c r="M16" s="967"/>
      <c r="N16" s="967"/>
      <c r="O16" s="967"/>
      <c r="P16" s="967"/>
      <c r="Q16" s="798"/>
      <c r="R16" s="967"/>
      <c r="S16" s="999"/>
    </row>
    <row r="17" spans="1:21" s="13" customFormat="1" ht="17.25" customHeight="1" x14ac:dyDescent="0.25">
      <c r="A17" s="501" t="s">
        <v>245</v>
      </c>
      <c r="B17" s="184">
        <v>100</v>
      </c>
      <c r="C17" s="54">
        <v>98.690887403159152</v>
      </c>
      <c r="D17" s="505">
        <v>102.45081564004866</v>
      </c>
      <c r="E17" s="505">
        <v>104.08630474886216</v>
      </c>
      <c r="F17" s="505">
        <v>104.65049084831537</v>
      </c>
      <c r="G17" s="983">
        <v>107.09885040521802</v>
      </c>
      <c r="H17" s="505">
        <v>99.906641693021086</v>
      </c>
      <c r="I17" s="505">
        <v>93.066447089422013</v>
      </c>
      <c r="J17" s="505">
        <v>108.5971802340169</v>
      </c>
      <c r="K17" s="505">
        <v>94.878169744725739</v>
      </c>
      <c r="L17" s="505">
        <v>107.83238347291959</v>
      </c>
      <c r="M17" s="505">
        <v>97.831256469427501</v>
      </c>
      <c r="N17" s="505">
        <v>105.47554203166629</v>
      </c>
      <c r="O17" s="505">
        <v>92.194786032607013</v>
      </c>
      <c r="P17" s="505">
        <v>89.810902966232248</v>
      </c>
      <c r="Q17" s="1014">
        <v>89.526292586048683</v>
      </c>
      <c r="R17" s="1014">
        <v>94.302250284687005</v>
      </c>
      <c r="S17" s="459">
        <v>90.415117339124478</v>
      </c>
    </row>
    <row r="18" spans="1:21" s="13" customFormat="1" ht="17.25" customHeight="1" x14ac:dyDescent="0.25">
      <c r="A18" s="503" t="s">
        <v>246</v>
      </c>
      <c r="B18" s="193">
        <v>100</v>
      </c>
      <c r="C18" s="57">
        <v>102.98759366941687</v>
      </c>
      <c r="D18" s="283">
        <v>106.50499321534328</v>
      </c>
      <c r="E18" s="283">
        <v>105.98456197193735</v>
      </c>
      <c r="F18" s="283">
        <v>110.10624647369299</v>
      </c>
      <c r="G18" s="283">
        <v>108.24147798294385</v>
      </c>
      <c r="H18" s="283">
        <v>103.96025032943346</v>
      </c>
      <c r="I18" s="283">
        <v>103.67143829940295</v>
      </c>
      <c r="J18" s="283">
        <v>110.85144983046003</v>
      </c>
      <c r="K18" s="283">
        <v>106.93473251379446</v>
      </c>
      <c r="L18" s="283">
        <v>105.49932217857601</v>
      </c>
      <c r="M18" s="283">
        <v>103.28704668914949</v>
      </c>
      <c r="N18" s="283">
        <v>107.53821931148265</v>
      </c>
      <c r="O18" s="283">
        <v>97.342659790895866</v>
      </c>
      <c r="P18" s="283">
        <v>95.353334787307148</v>
      </c>
      <c r="Q18" s="1017">
        <v>94.964538758823409</v>
      </c>
      <c r="R18" s="1017">
        <v>101.09111644699415</v>
      </c>
      <c r="S18" s="982">
        <v>98.584202400997299</v>
      </c>
    </row>
    <row r="19" spans="1:21" s="13" customFormat="1" ht="17.25" customHeight="1" x14ac:dyDescent="0.25">
      <c r="A19" s="285" t="s">
        <v>337</v>
      </c>
      <c r="B19" s="193">
        <v>100</v>
      </c>
      <c r="C19" s="57">
        <v>99.488853400502293</v>
      </c>
      <c r="D19" s="283">
        <v>98.873257462283021</v>
      </c>
      <c r="E19" s="283">
        <v>94.49284423113302</v>
      </c>
      <c r="F19" s="283">
        <v>93.754462717033093</v>
      </c>
      <c r="G19" s="283">
        <v>96.850598870848572</v>
      </c>
      <c r="H19" s="283">
        <v>96.891192837147415</v>
      </c>
      <c r="I19" s="283">
        <v>97.978432571080475</v>
      </c>
      <c r="J19" s="283">
        <v>102.52252710620319</v>
      </c>
      <c r="K19" s="283">
        <v>102.65789035698646</v>
      </c>
      <c r="L19" s="283">
        <v>92.812553707543046</v>
      </c>
      <c r="M19" s="283">
        <v>101.70131209942373</v>
      </c>
      <c r="N19" s="283">
        <v>103.59615388790786</v>
      </c>
      <c r="O19" s="283">
        <v>101.52293918116973</v>
      </c>
      <c r="P19" s="283">
        <v>105.2243379650903</v>
      </c>
      <c r="Q19" s="1017">
        <v>98.561728910763037</v>
      </c>
      <c r="R19" s="1017">
        <v>99.033992986930372</v>
      </c>
      <c r="S19" s="982">
        <v>97.855334019452101</v>
      </c>
    </row>
    <row r="20" spans="1:21" s="13" customFormat="1" ht="17.25" customHeight="1" x14ac:dyDescent="0.25">
      <c r="A20" s="285" t="s">
        <v>338</v>
      </c>
      <c r="B20" s="193">
        <v>100</v>
      </c>
      <c r="C20" s="57">
        <v>94.85051747758277</v>
      </c>
      <c r="D20" s="283">
        <v>97.43528015161229</v>
      </c>
      <c r="E20" s="283">
        <v>92.683123583392771</v>
      </c>
      <c r="F20" s="283">
        <v>91.867819677338019</v>
      </c>
      <c r="G20" s="283">
        <v>92.555225435831574</v>
      </c>
      <c r="H20" s="283">
        <v>91.380691648428808</v>
      </c>
      <c r="I20" s="283">
        <v>94.53232519821448</v>
      </c>
      <c r="J20" s="283">
        <v>100.1414277196068</v>
      </c>
      <c r="K20" s="283">
        <v>97.293618025396569</v>
      </c>
      <c r="L20" s="283">
        <v>97.453155429734565</v>
      </c>
      <c r="M20" s="283">
        <v>91.566626034369662</v>
      </c>
      <c r="N20" s="283">
        <v>101.98340694409616</v>
      </c>
      <c r="O20" s="283">
        <v>91.285061962156135</v>
      </c>
      <c r="P20" s="283">
        <v>98.171131079364613</v>
      </c>
      <c r="Q20" s="1017">
        <v>92.537232373969943</v>
      </c>
      <c r="R20" s="1017">
        <v>87.779741562627123</v>
      </c>
      <c r="S20" s="982">
        <v>87.449471458601892</v>
      </c>
    </row>
    <row r="21" spans="1:21" s="13" customFormat="1" ht="17.25" customHeight="1" x14ac:dyDescent="0.25">
      <c r="A21" s="503" t="s">
        <v>247</v>
      </c>
      <c r="B21" s="195">
        <v>100</v>
      </c>
      <c r="C21" s="104">
        <v>98.987655754175009</v>
      </c>
      <c r="D21" s="506">
        <v>96.990248794434578</v>
      </c>
      <c r="E21" s="506">
        <v>96.525804156229569</v>
      </c>
      <c r="F21" s="506">
        <v>98.305228238928024</v>
      </c>
      <c r="G21" s="506">
        <v>100.11925060781911</v>
      </c>
      <c r="H21" s="506">
        <v>98.281394615923958</v>
      </c>
      <c r="I21" s="506">
        <v>97.095795593020767</v>
      </c>
      <c r="J21" s="506">
        <v>102.38642739749885</v>
      </c>
      <c r="K21" s="506">
        <v>99.588834586336702</v>
      </c>
      <c r="L21" s="506">
        <v>104.40131789817401</v>
      </c>
      <c r="M21" s="506">
        <v>98.38847735585513</v>
      </c>
      <c r="N21" s="506">
        <v>108.34403621089422</v>
      </c>
      <c r="O21" s="506">
        <v>100.27448214856274</v>
      </c>
      <c r="P21" s="506">
        <v>99.615912167685963</v>
      </c>
      <c r="Q21" s="1016">
        <v>94.418883915128902</v>
      </c>
      <c r="R21" s="1016">
        <v>91.066618761061349</v>
      </c>
      <c r="S21" s="981">
        <v>94.168538579881826</v>
      </c>
    </row>
    <row r="22" spans="1:21" s="13" customFormat="1" ht="15" customHeight="1" x14ac:dyDescent="0.25">
      <c r="A22" s="199" t="s">
        <v>327</v>
      </c>
      <c r="B22" s="963"/>
      <c r="C22" s="964"/>
      <c r="D22" s="967"/>
      <c r="E22" s="967"/>
      <c r="F22" s="967"/>
      <c r="G22" s="967"/>
      <c r="H22" s="967"/>
      <c r="I22" s="967"/>
      <c r="J22" s="967"/>
      <c r="K22" s="967"/>
      <c r="L22" s="967"/>
      <c r="M22" s="967"/>
      <c r="N22" s="967"/>
      <c r="O22" s="967"/>
      <c r="P22" s="967"/>
      <c r="Q22" s="967"/>
      <c r="R22" s="967"/>
      <c r="S22" s="997"/>
    </row>
    <row r="23" spans="1:21" s="13" customFormat="1" ht="17.25" customHeight="1" x14ac:dyDescent="0.25">
      <c r="A23" s="501" t="s">
        <v>248</v>
      </c>
      <c r="B23" s="184">
        <v>100</v>
      </c>
      <c r="C23" s="54">
        <v>99.741205437501748</v>
      </c>
      <c r="D23" s="505">
        <v>104.59576777173521</v>
      </c>
      <c r="E23" s="505">
        <v>110.27705573705479</v>
      </c>
      <c r="F23" s="505">
        <v>107.68007130914697</v>
      </c>
      <c r="G23" s="505">
        <v>108.02154134230797</v>
      </c>
      <c r="H23" s="505">
        <v>97.525933287664969</v>
      </c>
      <c r="I23" s="505">
        <v>99.005420093543563</v>
      </c>
      <c r="J23" s="505">
        <v>104.78143388520999</v>
      </c>
      <c r="K23" s="505">
        <v>97.943283320432329</v>
      </c>
      <c r="L23" s="505">
        <v>96.745293844522976</v>
      </c>
      <c r="M23" s="505">
        <v>100.03001685191597</v>
      </c>
      <c r="N23" s="505">
        <v>97.079922910482651</v>
      </c>
      <c r="O23" s="505">
        <v>98.816563721249935</v>
      </c>
      <c r="P23" s="505">
        <v>91.549951088923478</v>
      </c>
      <c r="Q23" s="1014">
        <v>95.975261104737626</v>
      </c>
      <c r="R23" s="1014">
        <v>101.63855924761616</v>
      </c>
      <c r="S23" s="459">
        <v>97.418602625356201</v>
      </c>
    </row>
    <row r="24" spans="1:21" s="167" customFormat="1" ht="17.25" customHeight="1" x14ac:dyDescent="0.25">
      <c r="A24" s="513" t="s">
        <v>328</v>
      </c>
      <c r="B24" s="201">
        <f>65+5.950051405</f>
        <v>70.950051404999996</v>
      </c>
      <c r="C24" s="61">
        <f>65+7.85746615860775</f>
        <v>72.85746615860775</v>
      </c>
      <c r="D24" s="321">
        <f>65+5.7578977</f>
        <v>70.757897700000001</v>
      </c>
      <c r="E24" s="321">
        <f>65+5.64080658704165</f>
        <v>70.640806587041652</v>
      </c>
      <c r="F24" s="321">
        <f>65+4.95918833868878</f>
        <v>69.959188338688776</v>
      </c>
      <c r="G24" s="321">
        <f>65+7.42676327337709</f>
        <v>72.426763273377091</v>
      </c>
      <c r="H24" s="321">
        <f>65+8.02990550285438</f>
        <v>73.029905502854376</v>
      </c>
      <c r="I24" s="321">
        <f>65+7.21252166220401</f>
        <v>72.212521662204011</v>
      </c>
      <c r="J24" s="321">
        <f>65+6.29411658498121</f>
        <v>71.294116584981211</v>
      </c>
      <c r="K24" s="321">
        <f>65+6.61724615143115</f>
        <v>71.617246151431146</v>
      </c>
      <c r="L24" s="321">
        <f>65+7.60801481649354</f>
        <v>72.608014816493537</v>
      </c>
      <c r="M24" s="321">
        <f>65+7.64606769976301</f>
        <v>72.646067699763009</v>
      </c>
      <c r="N24" s="321">
        <f>65+8.37836700933353</f>
        <v>73.37836700933353</v>
      </c>
      <c r="O24" s="321">
        <f>65+6.71334041432793</f>
        <v>71.713340414327931</v>
      </c>
      <c r="P24" s="321">
        <f>65+9.47700509000001</f>
        <v>74.477005090000006</v>
      </c>
      <c r="Q24" s="1015">
        <f>65+8.13827113946556</f>
        <v>73.138271139465559</v>
      </c>
      <c r="R24" s="1015">
        <f>65+7.85204294537309</f>
        <v>72.852042945373086</v>
      </c>
      <c r="S24" s="980">
        <f>65+9.86081507</f>
        <v>74.860815070000001</v>
      </c>
    </row>
    <row r="25" spans="1:21" s="13" customFormat="1" ht="17.25" customHeight="1" x14ac:dyDescent="0.25">
      <c r="A25" s="503" t="s">
        <v>249</v>
      </c>
      <c r="B25" s="193">
        <v>100</v>
      </c>
      <c r="C25" s="57">
        <v>107.28698580642066</v>
      </c>
      <c r="D25" s="283">
        <v>104.76472415883453</v>
      </c>
      <c r="E25" s="283">
        <v>106.15239457974542</v>
      </c>
      <c r="F25" s="283">
        <v>103.74435617801434</v>
      </c>
      <c r="G25" s="283">
        <v>107.12473027671258</v>
      </c>
      <c r="H25" s="283">
        <v>105.03807540174815</v>
      </c>
      <c r="I25" s="283">
        <v>109.96508074228124</v>
      </c>
      <c r="J25" s="283">
        <v>108.50943956559537</v>
      </c>
      <c r="K25" s="283">
        <v>116.45518885830455</v>
      </c>
      <c r="L25" s="283">
        <v>102.02251932511987</v>
      </c>
      <c r="M25" s="283">
        <v>110.5087303763145</v>
      </c>
      <c r="N25" s="283">
        <v>110.66705743416119</v>
      </c>
      <c r="O25" s="283">
        <v>107.72888207196442</v>
      </c>
      <c r="P25" s="283">
        <v>115.2441129955202</v>
      </c>
      <c r="Q25" s="1017">
        <v>110.33903543107159</v>
      </c>
      <c r="R25" s="1017">
        <v>122.31581748183442</v>
      </c>
      <c r="S25" s="982">
        <v>101.85555647393252</v>
      </c>
    </row>
    <row r="26" spans="1:21" s="13" customFormat="1" ht="17.25" customHeight="1" x14ac:dyDescent="0.25">
      <c r="A26" s="529" t="s">
        <v>340</v>
      </c>
      <c r="B26" s="201">
        <f>65+7.90219787347759</f>
        <v>72.90219787347759</v>
      </c>
      <c r="C26" s="61">
        <f>65+8.51935916833001</f>
        <v>73.519359168330013</v>
      </c>
      <c r="D26" s="321">
        <f>65+8.83271172409171</f>
        <v>73.832711724091709</v>
      </c>
      <c r="E26" s="321">
        <f>65+7.86492006654362</f>
        <v>72.864920066543618</v>
      </c>
      <c r="F26" s="321">
        <f>65+7.44995134934962</f>
        <v>72.449951349349618</v>
      </c>
      <c r="G26" s="321">
        <f>65+6.93454552358823</f>
        <v>71.934545523588227</v>
      </c>
      <c r="H26" s="321">
        <f>65+8.13433495180271</f>
        <v>73.134334951802714</v>
      </c>
      <c r="I26" s="321">
        <f>65+8.17657265683033</f>
        <v>73.176572656830331</v>
      </c>
      <c r="J26" s="321">
        <f>65+8.56228751001287</f>
        <v>73.562287510012865</v>
      </c>
      <c r="K26" s="321">
        <f>65+5.327318210608</f>
        <v>70.327318210607999</v>
      </c>
      <c r="L26" s="321">
        <f>65+9.82903318259162</f>
        <v>74.829033182591616</v>
      </c>
      <c r="M26" s="321">
        <f>65+7.19416959773547</f>
        <v>72.194169597735467</v>
      </c>
      <c r="N26" s="321">
        <f>65+9.21393393663232</f>
        <v>74.213933936632316</v>
      </c>
      <c r="O26" s="321">
        <f>65+7.54543508338791</f>
        <v>72.545435083387915</v>
      </c>
      <c r="P26" s="321">
        <f>65+7.57886940362332</f>
        <v>72.578869403623315</v>
      </c>
      <c r="Q26" s="1015">
        <f>65+8.17256169584935</f>
        <v>73.172561695849353</v>
      </c>
      <c r="R26" s="1015">
        <f>65+5.00943212266837</f>
        <v>70.009432122668372</v>
      </c>
      <c r="S26" s="980">
        <f>65+9.4913849272864</f>
        <v>74.491384927286404</v>
      </c>
      <c r="T26" s="181"/>
      <c r="U26" s="181"/>
    </row>
    <row r="27" spans="1:21" s="13" customFormat="1" ht="17.25" customHeight="1" x14ac:dyDescent="0.25">
      <c r="A27" s="503" t="s">
        <v>250</v>
      </c>
      <c r="B27" s="193">
        <v>100</v>
      </c>
      <c r="C27" s="57">
        <v>108.15558032421224</v>
      </c>
      <c r="D27" s="283">
        <v>115.31977764019699</v>
      </c>
      <c r="E27" s="283">
        <v>105.59770862763718</v>
      </c>
      <c r="F27" s="283">
        <v>104.82818835041634</v>
      </c>
      <c r="G27" s="283">
        <v>106.76120110605409</v>
      </c>
      <c r="H27" s="283">
        <v>102.78581530660628</v>
      </c>
      <c r="I27" s="283">
        <v>102.95415373408747</v>
      </c>
      <c r="J27" s="283">
        <v>105.73853056638313</v>
      </c>
      <c r="K27" s="283">
        <v>98.050199870286306</v>
      </c>
      <c r="L27" s="283">
        <v>98.468736058537019</v>
      </c>
      <c r="M27" s="283">
        <v>99.795598239058279</v>
      </c>
      <c r="N27" s="283">
        <v>113.32498492441556</v>
      </c>
      <c r="O27" s="283">
        <v>102.54167436636502</v>
      </c>
      <c r="P27" s="283">
        <v>107.81166427634273</v>
      </c>
      <c r="Q27" s="1017">
        <v>105.89837753669144</v>
      </c>
      <c r="R27" s="1017">
        <v>97.47505372532089</v>
      </c>
      <c r="S27" s="982">
        <v>104.09351349300724</v>
      </c>
    </row>
    <row r="28" spans="1:21" s="13" customFormat="1" ht="17.25" customHeight="1" x14ac:dyDescent="0.25">
      <c r="A28" s="288" t="s">
        <v>341</v>
      </c>
      <c r="B28" s="205">
        <v>100</v>
      </c>
      <c r="C28" s="231">
        <v>100.33916463522282</v>
      </c>
      <c r="D28" s="507">
        <v>101.52780385821144</v>
      </c>
      <c r="E28" s="507">
        <v>98.279768011794658</v>
      </c>
      <c r="F28" s="507">
        <v>100.70628063797292</v>
      </c>
      <c r="G28" s="506">
        <v>107.30990138534976</v>
      </c>
      <c r="H28" s="507">
        <v>98.202385543728241</v>
      </c>
      <c r="I28" s="507">
        <v>97.374258230040596</v>
      </c>
      <c r="J28" s="507">
        <v>102.87943262969286</v>
      </c>
      <c r="K28" s="507">
        <v>103.05233071264468</v>
      </c>
      <c r="L28" s="507">
        <v>103.33414709435647</v>
      </c>
      <c r="M28" s="507">
        <v>96.883395370208817</v>
      </c>
      <c r="N28" s="507">
        <v>107.85413413710718</v>
      </c>
      <c r="O28" s="507">
        <v>96.824782904221081</v>
      </c>
      <c r="P28" s="507">
        <v>101.78834150205864</v>
      </c>
      <c r="Q28" s="1019">
        <v>96.611097432958729</v>
      </c>
      <c r="R28" s="1019">
        <v>93.097468140234753</v>
      </c>
      <c r="S28" s="985">
        <v>94.382554758436811</v>
      </c>
    </row>
    <row r="29" spans="1:21" s="13" customFormat="1" ht="17.25" customHeight="1" x14ac:dyDescent="0.25">
      <c r="A29" s="207" t="s">
        <v>11</v>
      </c>
      <c r="B29" s="957"/>
      <c r="C29" s="958"/>
      <c r="D29" s="974"/>
      <c r="E29" s="974"/>
      <c r="F29" s="974"/>
      <c r="G29" s="974"/>
      <c r="H29" s="974"/>
      <c r="I29" s="974"/>
      <c r="J29" s="974"/>
      <c r="K29" s="974"/>
      <c r="L29" s="974"/>
      <c r="M29" s="974"/>
      <c r="N29" s="974"/>
      <c r="O29" s="974"/>
      <c r="P29" s="974"/>
      <c r="Q29" s="974"/>
      <c r="R29" s="974"/>
      <c r="S29" s="975"/>
    </row>
    <row r="30" spans="1:21" s="13" customFormat="1" ht="17.25" customHeight="1" x14ac:dyDescent="0.25">
      <c r="A30" s="375" t="s">
        <v>310</v>
      </c>
      <c r="B30" s="208">
        <v>7.3282239349999996</v>
      </c>
      <c r="C30" s="206">
        <v>7.3507361258827233</v>
      </c>
      <c r="D30" s="313">
        <v>7.4615040530527921</v>
      </c>
      <c r="E30" s="313">
        <v>7.2392763734314105</v>
      </c>
      <c r="F30" s="313">
        <v>7.0730842586472837</v>
      </c>
      <c r="G30" s="313" t="s">
        <v>179</v>
      </c>
      <c r="H30" s="313">
        <v>7.3814404349130722</v>
      </c>
      <c r="I30" s="313">
        <v>6.9897509192872054</v>
      </c>
      <c r="J30" s="313" t="s">
        <v>233</v>
      </c>
      <c r="K30" s="313">
        <v>7.0730842550312367</v>
      </c>
      <c r="L30" s="313">
        <v>7.3880579343999333</v>
      </c>
      <c r="M30" s="313">
        <v>7.2098896881920957</v>
      </c>
      <c r="N30" s="313">
        <v>7.5814404349130742</v>
      </c>
      <c r="O30" s="313">
        <v>7.3973896868360782</v>
      </c>
      <c r="P30" s="313">
        <v>7.2898278040057285</v>
      </c>
      <c r="Q30" s="1012">
        <v>7.341858698088684</v>
      </c>
      <c r="R30" s="1012">
        <v>7.0849597475208368</v>
      </c>
      <c r="S30" s="989">
        <v>7.1509276549802623</v>
      </c>
    </row>
    <row r="31" spans="1:21" s="13" customFormat="1" ht="17.25" customHeight="1" x14ac:dyDescent="0.25">
      <c r="A31" s="207" t="s">
        <v>12</v>
      </c>
      <c r="B31" s="957"/>
      <c r="C31" s="958"/>
      <c r="D31" s="959"/>
      <c r="E31" s="959"/>
      <c r="F31" s="959"/>
      <c r="G31" s="959"/>
      <c r="H31" s="959"/>
      <c r="I31" s="959"/>
      <c r="J31" s="959"/>
      <c r="K31" s="959"/>
      <c r="L31" s="959"/>
      <c r="M31" s="959"/>
      <c r="N31" s="959"/>
      <c r="O31" s="959"/>
      <c r="P31" s="959"/>
      <c r="Q31" s="959"/>
      <c r="R31" s="959"/>
      <c r="S31" s="962"/>
    </row>
    <row r="32" spans="1:21" s="13" customFormat="1" ht="17.25" customHeight="1" x14ac:dyDescent="0.25">
      <c r="A32" s="327" t="s">
        <v>314</v>
      </c>
      <c r="B32" s="212">
        <v>5.6178571428571447</v>
      </c>
      <c r="C32" s="145">
        <v>5</v>
      </c>
      <c r="D32" s="330">
        <v>1.7</v>
      </c>
      <c r="E32" s="330">
        <v>6.2</v>
      </c>
      <c r="F32" s="330">
        <v>4.9000000000000004</v>
      </c>
      <c r="G32" s="332">
        <v>5.4</v>
      </c>
      <c r="H32" s="330">
        <v>8</v>
      </c>
      <c r="I32" s="332">
        <v>3.5</v>
      </c>
      <c r="J32" s="330">
        <v>5</v>
      </c>
      <c r="K32" s="332">
        <v>5.7</v>
      </c>
      <c r="L32" s="330">
        <v>7</v>
      </c>
      <c r="M32" s="330">
        <v>3.7</v>
      </c>
      <c r="N32" s="330">
        <v>4.8</v>
      </c>
      <c r="O32" s="332">
        <v>5.7</v>
      </c>
      <c r="P32" s="330">
        <v>2.6</v>
      </c>
      <c r="Q32" s="1020">
        <v>6.3</v>
      </c>
      <c r="R32" s="1020">
        <v>6</v>
      </c>
      <c r="S32" s="987">
        <v>6.7</v>
      </c>
    </row>
    <row r="33" spans="1:19" s="13" customFormat="1" ht="17.25" customHeight="1" x14ac:dyDescent="0.25">
      <c r="A33" s="333" t="s">
        <v>342</v>
      </c>
      <c r="B33" s="215">
        <v>5.0571428571428569</v>
      </c>
      <c r="C33" s="145">
        <v>6.1333333333333329</v>
      </c>
      <c r="D33" s="321">
        <v>6.7</v>
      </c>
      <c r="E33" s="321">
        <v>5.0999999999999996</v>
      </c>
      <c r="F33" s="321">
        <v>6.7</v>
      </c>
      <c r="G33" s="303" t="s">
        <v>5</v>
      </c>
      <c r="H33" s="303">
        <v>5.2</v>
      </c>
      <c r="I33" s="303">
        <v>6.3</v>
      </c>
      <c r="J33" s="303">
        <v>6.1</v>
      </c>
      <c r="K33" s="303">
        <v>5.5</v>
      </c>
      <c r="L33" s="321">
        <v>4.3</v>
      </c>
      <c r="M33" s="321">
        <v>6.9</v>
      </c>
      <c r="N33" s="303">
        <v>6.6</v>
      </c>
      <c r="O33" s="303">
        <v>5.8</v>
      </c>
      <c r="P33" s="321">
        <v>6.4</v>
      </c>
      <c r="Q33" s="312">
        <v>6.1</v>
      </c>
      <c r="R33" s="312">
        <v>6.2</v>
      </c>
      <c r="S33" s="980">
        <v>6.8</v>
      </c>
    </row>
    <row r="34" spans="1:19" s="13" customFormat="1" ht="17.25" customHeight="1" x14ac:dyDescent="0.25">
      <c r="A34" s="326" t="s">
        <v>312</v>
      </c>
      <c r="B34" s="217">
        <v>6.411538461538461</v>
      </c>
      <c r="C34" s="145">
        <v>6.4499999999999993</v>
      </c>
      <c r="D34" s="313">
        <v>6.8</v>
      </c>
      <c r="E34" s="313">
        <v>7.6</v>
      </c>
      <c r="F34" s="313">
        <v>4.9000000000000004</v>
      </c>
      <c r="G34" s="309" t="s">
        <v>178</v>
      </c>
      <c r="H34" s="309">
        <v>7.5</v>
      </c>
      <c r="I34" s="309">
        <v>5.5</v>
      </c>
      <c r="J34" s="309" t="s">
        <v>5</v>
      </c>
      <c r="K34" s="309">
        <v>5.9</v>
      </c>
      <c r="L34" s="313">
        <v>5.6</v>
      </c>
      <c r="M34" s="313">
        <v>6.8</v>
      </c>
      <c r="N34" s="309">
        <v>4.5</v>
      </c>
      <c r="O34" s="309">
        <v>5.9</v>
      </c>
      <c r="P34" s="313">
        <v>6.5</v>
      </c>
      <c r="Q34" s="1013">
        <v>7.6</v>
      </c>
      <c r="R34" s="1012">
        <v>6.7</v>
      </c>
      <c r="S34" s="986">
        <v>5.8</v>
      </c>
    </row>
    <row r="35" spans="1:19" s="13" customFormat="1" ht="9" customHeight="1" x14ac:dyDescent="0.25">
      <c r="A35" s="1028"/>
      <c r="B35" s="1029"/>
      <c r="C35" s="1030"/>
      <c r="D35" s="967"/>
      <c r="E35" s="967"/>
      <c r="F35" s="967"/>
      <c r="G35" s="1002"/>
      <c r="H35" s="967"/>
      <c r="I35" s="967"/>
      <c r="J35" s="967"/>
      <c r="K35" s="967"/>
      <c r="L35" s="967"/>
      <c r="M35" s="967"/>
      <c r="N35" s="967"/>
      <c r="O35" s="967"/>
      <c r="P35" s="967"/>
      <c r="Q35" s="1010"/>
      <c r="R35" s="967"/>
      <c r="S35" s="1011"/>
    </row>
    <row r="36" spans="1:19" s="13" customFormat="1" ht="17.25" customHeight="1" x14ac:dyDescent="0.25">
      <c r="A36" s="118" t="s">
        <v>285</v>
      </c>
      <c r="B36" s="944"/>
      <c r="C36" s="793"/>
      <c r="D36" s="279">
        <v>2014</v>
      </c>
      <c r="E36" s="279">
        <v>2011</v>
      </c>
      <c r="F36" s="279">
        <v>2021</v>
      </c>
      <c r="G36" s="279">
        <v>2023</v>
      </c>
      <c r="H36" s="279">
        <v>2017</v>
      </c>
      <c r="I36" s="279">
        <v>2021</v>
      </c>
      <c r="J36" s="279">
        <v>2022</v>
      </c>
      <c r="K36" s="279">
        <v>2021</v>
      </c>
      <c r="L36" s="279">
        <v>2018</v>
      </c>
      <c r="M36" s="279">
        <v>2020</v>
      </c>
      <c r="N36" s="279">
        <v>2017</v>
      </c>
      <c r="O36" s="279">
        <v>2020</v>
      </c>
      <c r="P36" s="338">
        <v>2005</v>
      </c>
      <c r="Q36" s="754">
        <v>2017</v>
      </c>
      <c r="R36" s="754">
        <v>2013</v>
      </c>
      <c r="S36" s="461">
        <v>2006</v>
      </c>
    </row>
    <row r="37" spans="1:19" s="13" customFormat="1" ht="40" customHeight="1" x14ac:dyDescent="0.25">
      <c r="A37" s="1191" t="s">
        <v>367</v>
      </c>
      <c r="B37" s="1192"/>
      <c r="C37" s="1192"/>
      <c r="D37" s="1199" t="s">
        <v>370</v>
      </c>
      <c r="E37" s="1199" t="s">
        <v>370</v>
      </c>
      <c r="F37" s="1199" t="s">
        <v>370</v>
      </c>
      <c r="G37" s="1199" t="s">
        <v>370</v>
      </c>
      <c r="H37" s="278" t="s">
        <v>372</v>
      </c>
      <c r="I37" s="1199" t="s">
        <v>383</v>
      </c>
      <c r="J37" s="1199" t="s">
        <v>370</v>
      </c>
      <c r="K37" s="1199" t="s">
        <v>379</v>
      </c>
      <c r="L37" s="1199" t="s">
        <v>380</v>
      </c>
      <c r="M37" s="278" t="s">
        <v>369</v>
      </c>
      <c r="N37" s="1199" t="s">
        <v>383</v>
      </c>
      <c r="O37" s="1199" t="s">
        <v>379</v>
      </c>
      <c r="P37" s="1199" t="s">
        <v>370</v>
      </c>
      <c r="Q37" s="1199" t="s">
        <v>379</v>
      </c>
      <c r="R37" s="1199" t="s">
        <v>379</v>
      </c>
      <c r="S37" s="1199" t="s">
        <v>380</v>
      </c>
    </row>
    <row r="38" spans="1:19" s="13" customFormat="1" ht="41" customHeight="1" x14ac:dyDescent="0.25">
      <c r="A38" s="1191" t="s">
        <v>384</v>
      </c>
      <c r="B38" s="1192"/>
      <c r="C38" s="1192"/>
      <c r="D38" s="1199" t="s">
        <v>378</v>
      </c>
      <c r="E38" s="1199" t="s">
        <v>378</v>
      </c>
      <c r="F38" s="1199" t="s">
        <v>378</v>
      </c>
      <c r="G38" s="1199" t="s">
        <v>378</v>
      </c>
      <c r="H38" s="1234" t="s">
        <v>374</v>
      </c>
      <c r="I38" s="338" t="s">
        <v>376</v>
      </c>
      <c r="J38" s="1199" t="s">
        <v>378</v>
      </c>
      <c r="K38" s="1199" t="s">
        <v>382</v>
      </c>
      <c r="L38" s="1199" t="s">
        <v>381</v>
      </c>
      <c r="M38" s="1199" t="s">
        <v>381</v>
      </c>
      <c r="N38" s="338" t="s">
        <v>376</v>
      </c>
      <c r="O38" s="1199" t="s">
        <v>374</v>
      </c>
      <c r="P38" s="1199" t="s">
        <v>378</v>
      </c>
      <c r="Q38" s="1199" t="s">
        <v>382</v>
      </c>
      <c r="R38" s="1199" t="s">
        <v>382</v>
      </c>
      <c r="S38" s="1199" t="s">
        <v>381</v>
      </c>
    </row>
    <row r="39" spans="1:19" s="13" customFormat="1" ht="17.25" customHeight="1" x14ac:dyDescent="0.25">
      <c r="A39" s="220" t="s">
        <v>6</v>
      </c>
      <c r="B39" s="945"/>
      <c r="C39" s="946"/>
      <c r="D39" s="1198"/>
      <c r="E39" s="1198"/>
      <c r="F39" s="1198"/>
      <c r="G39" s="1198"/>
      <c r="H39" s="1198"/>
      <c r="I39" s="1198"/>
      <c r="J39" s="1198"/>
      <c r="K39" s="1198"/>
      <c r="L39" s="1198"/>
      <c r="M39" s="1198"/>
      <c r="N39" s="1198"/>
      <c r="O39" s="1198"/>
      <c r="P39" s="1201"/>
      <c r="Q39" s="1031"/>
      <c r="R39" s="1198"/>
      <c r="S39" s="1011"/>
    </row>
    <row r="40" spans="1:19" s="13" customFormat="1" ht="17.25" customHeight="1" x14ac:dyDescent="0.25">
      <c r="A40" s="211" t="s">
        <v>19</v>
      </c>
      <c r="B40" s="947"/>
      <c r="C40" s="948"/>
      <c r="D40" s="353">
        <v>12</v>
      </c>
      <c r="E40" s="353">
        <v>15</v>
      </c>
      <c r="F40" s="353">
        <v>11</v>
      </c>
      <c r="G40" s="353">
        <v>6</v>
      </c>
      <c r="H40" s="353">
        <v>13</v>
      </c>
      <c r="I40" s="353">
        <v>11</v>
      </c>
      <c r="J40" s="353">
        <v>9</v>
      </c>
      <c r="K40" s="353">
        <v>11</v>
      </c>
      <c r="L40" s="353">
        <v>15</v>
      </c>
      <c r="M40" s="353">
        <v>11</v>
      </c>
      <c r="N40" s="353">
        <v>13</v>
      </c>
      <c r="O40" s="353">
        <v>11</v>
      </c>
      <c r="P40" s="990">
        <v>29</v>
      </c>
      <c r="Q40" s="1021">
        <v>12</v>
      </c>
      <c r="R40" s="1021">
        <v>15</v>
      </c>
      <c r="S40" s="992">
        <v>10</v>
      </c>
    </row>
    <row r="41" spans="1:19" s="13" customFormat="1" ht="17.25" customHeight="1" x14ac:dyDescent="0.25">
      <c r="A41" s="214" t="s">
        <v>20</v>
      </c>
      <c r="B41" s="949"/>
      <c r="C41" s="950"/>
      <c r="D41" s="354">
        <v>12</v>
      </c>
      <c r="E41" s="354">
        <v>15</v>
      </c>
      <c r="F41" s="354">
        <v>8</v>
      </c>
      <c r="G41" s="354">
        <v>6</v>
      </c>
      <c r="H41" s="385">
        <v>14</v>
      </c>
      <c r="I41" s="385">
        <v>8</v>
      </c>
      <c r="J41" s="354">
        <v>6</v>
      </c>
      <c r="K41" s="354">
        <v>8</v>
      </c>
      <c r="L41" s="354">
        <v>14</v>
      </c>
      <c r="M41" s="385">
        <v>11</v>
      </c>
      <c r="N41" s="385">
        <v>14</v>
      </c>
      <c r="O41" s="385">
        <v>11</v>
      </c>
      <c r="P41" s="354">
        <v>30</v>
      </c>
      <c r="Q41" s="385">
        <v>13</v>
      </c>
      <c r="R41" s="385">
        <v>14</v>
      </c>
      <c r="S41" s="993">
        <v>10</v>
      </c>
    </row>
    <row r="42" spans="1:19" s="13" customFormat="1" ht="17.25" customHeight="1" thickBot="1" x14ac:dyDescent="0.3">
      <c r="A42" s="127" t="s">
        <v>21</v>
      </c>
      <c r="B42" s="1006"/>
      <c r="C42" s="1007"/>
      <c r="D42" s="79">
        <v>11</v>
      </c>
      <c r="E42" s="355">
        <v>14</v>
      </c>
      <c r="F42" s="927">
        <v>6</v>
      </c>
      <c r="G42" s="355">
        <v>6</v>
      </c>
      <c r="H42" s="355">
        <v>12</v>
      </c>
      <c r="I42" s="355">
        <v>6</v>
      </c>
      <c r="J42" s="927">
        <v>6</v>
      </c>
      <c r="K42" s="355">
        <v>6</v>
      </c>
      <c r="L42" s="355">
        <v>12</v>
      </c>
      <c r="M42" s="355">
        <v>9</v>
      </c>
      <c r="N42" s="355">
        <v>12</v>
      </c>
      <c r="O42" s="355">
        <v>9</v>
      </c>
      <c r="P42" s="355">
        <v>28</v>
      </c>
      <c r="Q42" s="1022">
        <v>11</v>
      </c>
      <c r="R42" s="1022">
        <v>13</v>
      </c>
      <c r="S42" s="994">
        <v>10</v>
      </c>
    </row>
    <row r="43" spans="1:19" ht="13.5" customHeight="1" x14ac:dyDescent="0.25">
      <c r="A43" s="153"/>
      <c r="B43" s="154"/>
      <c r="C43" s="154"/>
      <c r="D43" s="154"/>
      <c r="E43" s="154"/>
      <c r="F43" s="154"/>
      <c r="G43" s="154"/>
      <c r="H43" s="154"/>
      <c r="I43" s="154"/>
      <c r="J43" s="154"/>
      <c r="K43" s="154"/>
      <c r="L43" s="154"/>
      <c r="M43" s="154"/>
      <c r="N43" s="154"/>
      <c r="O43" s="154"/>
      <c r="P43" s="154"/>
      <c r="Q43" s="154"/>
      <c r="R43" s="154"/>
      <c r="S43" s="154"/>
    </row>
    <row r="47" spans="1:19" x14ac:dyDescent="0.25">
      <c r="S47"/>
    </row>
    <row r="48" spans="1:19" x14ac:dyDescent="0.25">
      <c r="S48"/>
    </row>
    <row r="49" spans="19:19" x14ac:dyDescent="0.25">
      <c r="S49"/>
    </row>
    <row r="50" spans="19:19" x14ac:dyDescent="0.25">
      <c r="S50"/>
    </row>
    <row r="53" spans="19:19" x14ac:dyDescent="0.25">
      <c r="S53"/>
    </row>
    <row r="54" spans="19:19" x14ac:dyDescent="0.25">
      <c r="S54"/>
    </row>
    <row r="55" spans="19:19" x14ac:dyDescent="0.25">
      <c r="S55"/>
    </row>
    <row r="56" spans="19:19" x14ac:dyDescent="0.25">
      <c r="S56"/>
    </row>
    <row r="57" spans="19:19" x14ac:dyDescent="0.25">
      <c r="S57"/>
    </row>
    <row r="58" spans="19:19" x14ac:dyDescent="0.25">
      <c r="S58"/>
    </row>
    <row r="59" spans="19:19" x14ac:dyDescent="0.25">
      <c r="S59"/>
    </row>
    <row r="60" spans="19:19" x14ac:dyDescent="0.25">
      <c r="S60"/>
    </row>
    <row r="61" spans="19:19" x14ac:dyDescent="0.25">
      <c r="S61"/>
    </row>
    <row r="62" spans="19:19" x14ac:dyDescent="0.25">
      <c r="S62"/>
    </row>
    <row r="63" spans="19:19" x14ac:dyDescent="0.25">
      <c r="S63"/>
    </row>
    <row r="64" spans="19:19" x14ac:dyDescent="0.25">
      <c r="S64"/>
    </row>
    <row r="65" spans="19:19" x14ac:dyDescent="0.25">
      <c r="S65"/>
    </row>
    <row r="66" spans="19:19" x14ac:dyDescent="0.25">
      <c r="S66"/>
    </row>
  </sheetData>
  <conditionalFormatting sqref="D24:J24">
    <cfRule type="cellIs" dxfId="6" priority="20" stopIfTrue="1" operator="greaterThan">
      <formula>"7.5+$Z$37"</formula>
    </cfRule>
  </conditionalFormatting>
  <conditionalFormatting sqref="D24:S24">
    <cfRule type="cellIs" dxfId="5" priority="12" stopIfTrue="1" operator="greaterThan">
      <formula>"7.5+1.35"</formula>
    </cfRule>
  </conditionalFormatting>
  <conditionalFormatting sqref="J24">
    <cfRule type="aboveAverage" priority="19" stopIfTrue="1"/>
  </conditionalFormatting>
  <conditionalFormatting sqref="K24">
    <cfRule type="aboveAverage" priority="37" stopIfTrue="1"/>
    <cfRule type="cellIs" dxfId="4" priority="38" stopIfTrue="1" operator="greaterThan">
      <formula>"7.5+$Z$37"</formula>
    </cfRule>
  </conditionalFormatting>
  <conditionalFormatting sqref="L24:N24">
    <cfRule type="cellIs" dxfId="3" priority="151" stopIfTrue="1" operator="greaterThan">
      <formula>"7.5+$Z$37"</formula>
    </cfRule>
  </conditionalFormatting>
  <conditionalFormatting sqref="M24">
    <cfRule type="aboveAverage" priority="150" stopIfTrue="1"/>
  </conditionalFormatting>
  <conditionalFormatting sqref="O24">
    <cfRule type="aboveAverage" priority="22" stopIfTrue="1"/>
  </conditionalFormatting>
  <conditionalFormatting sqref="O24:S24">
    <cfRule type="cellIs" dxfId="2" priority="23" stopIfTrue="1" operator="greaterThan">
      <formula>"7.5+$Z$37"</formula>
    </cfRule>
  </conditionalFormatting>
  <conditionalFormatting sqref="P24:S24 D24:I24 L24 N24">
    <cfRule type="aboveAverage" priority="183" stopIfTrue="1"/>
  </conditionalFormatting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8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3">
    <pageSetUpPr fitToPage="1"/>
  </sheetPr>
  <dimension ref="A1:BD43"/>
  <sheetViews>
    <sheetView zoomScaleNormal="100" workbookViewId="0">
      <pane xSplit="11" ySplit="12" topLeftCell="W33" activePane="bottomRight" state="frozen"/>
      <selection pane="topRight" activeCell="L1" sqref="L1"/>
      <selection pane="bottomLeft" activeCell="A13" sqref="A13"/>
      <selection pane="bottomRight" activeCell="AJ37" sqref="AJ37"/>
    </sheetView>
  </sheetViews>
  <sheetFormatPr defaultColWidth="9.08984375" defaultRowHeight="12.5" x14ac:dyDescent="0.25"/>
  <cols>
    <col min="1" max="1" width="43.81640625" customWidth="1"/>
    <col min="2" max="2" width="10.36328125" style="43" customWidth="1"/>
    <col min="3" max="3" width="10" style="43" customWidth="1"/>
    <col min="4" max="4" width="8.36328125" style="43" customWidth="1"/>
    <col min="5" max="5" width="8.36328125" style="605" customWidth="1"/>
    <col min="6" max="6" width="8.6328125" style="43" customWidth="1"/>
    <col min="7" max="13" width="8.36328125" style="43" customWidth="1"/>
    <col min="14" max="14" width="8.36328125" style="605" customWidth="1"/>
    <col min="15" max="15" width="8.6328125" style="605" customWidth="1"/>
    <col min="16" max="16" width="8.36328125" style="605" customWidth="1"/>
    <col min="17" max="20" width="8.36328125" style="43" customWidth="1"/>
    <col min="21" max="22" width="8.36328125" style="605" customWidth="1"/>
    <col min="23" max="24" width="8.36328125" style="43" customWidth="1"/>
    <col min="25" max="25" width="8.36328125" style="605" customWidth="1"/>
    <col min="26" max="26" width="8.36328125" style="43" customWidth="1"/>
    <col min="27" max="27" width="8.08984375" style="43" customWidth="1"/>
    <col min="28" max="35" width="8.36328125" style="43" customWidth="1"/>
    <col min="37" max="37" width="11.36328125" customWidth="1"/>
  </cols>
  <sheetData>
    <row r="1" spans="1:35" ht="14.5" thickBot="1" x14ac:dyDescent="0.35">
      <c r="A1" s="19" t="s">
        <v>348</v>
      </c>
      <c r="B1" s="45"/>
      <c r="C1" s="45"/>
      <c r="D1" s="2"/>
      <c r="E1" s="610"/>
      <c r="F1" s="3"/>
      <c r="G1" s="3"/>
      <c r="H1" s="2"/>
      <c r="I1" s="3"/>
      <c r="J1" s="3"/>
      <c r="K1" s="2"/>
      <c r="L1" s="2"/>
      <c r="M1" s="2"/>
      <c r="N1" s="610"/>
      <c r="O1" s="611"/>
      <c r="P1" s="610"/>
      <c r="Q1" s="2"/>
      <c r="R1" s="2"/>
      <c r="S1" s="3"/>
      <c r="T1" s="2"/>
      <c r="V1" s="611"/>
      <c r="W1" s="2"/>
      <c r="X1" s="2"/>
      <c r="Y1" s="611"/>
      <c r="Z1" s="3"/>
      <c r="AA1" s="2"/>
      <c r="AB1" s="2"/>
      <c r="AC1" s="2"/>
      <c r="AD1" s="2"/>
      <c r="AE1" s="2"/>
      <c r="AH1" s="2"/>
    </row>
    <row r="2" spans="1:35" ht="86.5" customHeight="1" x14ac:dyDescent="0.25">
      <c r="A2" s="25"/>
      <c r="B2" s="27" t="s">
        <v>89</v>
      </c>
      <c r="C2" s="27" t="s">
        <v>349</v>
      </c>
      <c r="D2" s="316" t="s">
        <v>147</v>
      </c>
      <c r="E2" s="316" t="s">
        <v>83</v>
      </c>
      <c r="F2" s="316" t="s">
        <v>172</v>
      </c>
      <c r="G2" s="316" t="s">
        <v>72</v>
      </c>
      <c r="H2" s="316" t="s">
        <v>133</v>
      </c>
      <c r="I2" s="316" t="s">
        <v>189</v>
      </c>
      <c r="J2" s="316" t="s">
        <v>173</v>
      </c>
      <c r="K2" s="317" t="s">
        <v>174</v>
      </c>
      <c r="L2" s="316" t="s">
        <v>51</v>
      </c>
      <c r="M2" s="316" t="s">
        <v>134</v>
      </c>
      <c r="N2" s="316" t="s">
        <v>78</v>
      </c>
      <c r="O2" s="318" t="s">
        <v>184</v>
      </c>
      <c r="P2" s="316" t="s">
        <v>85</v>
      </c>
      <c r="Q2" s="316" t="s">
        <v>160</v>
      </c>
      <c r="R2" s="316" t="s">
        <v>75</v>
      </c>
      <c r="S2" s="316" t="s">
        <v>47</v>
      </c>
      <c r="T2" s="317" t="s">
        <v>45</v>
      </c>
      <c r="U2" s="316" t="s">
        <v>63</v>
      </c>
      <c r="V2" s="316" t="s">
        <v>132</v>
      </c>
      <c r="W2" s="316" t="s">
        <v>148</v>
      </c>
      <c r="X2" s="316" t="s">
        <v>161</v>
      </c>
      <c r="Y2" s="317" t="s">
        <v>62</v>
      </c>
      <c r="Z2" s="316" t="s">
        <v>74</v>
      </c>
      <c r="AA2" s="316" t="s">
        <v>190</v>
      </c>
      <c r="AB2" s="316" t="s">
        <v>153</v>
      </c>
      <c r="AC2" s="316" t="s">
        <v>135</v>
      </c>
      <c r="AD2" s="317" t="s">
        <v>69</v>
      </c>
      <c r="AE2" s="316" t="s">
        <v>143</v>
      </c>
      <c r="AF2" s="318" t="s">
        <v>48</v>
      </c>
      <c r="AG2" s="318" t="s">
        <v>46</v>
      </c>
      <c r="AH2" s="316" t="s">
        <v>170</v>
      </c>
      <c r="AI2" s="454" t="s">
        <v>73</v>
      </c>
    </row>
    <row r="3" spans="1:35" ht="26.25" customHeight="1" x14ac:dyDescent="0.25">
      <c r="A3" s="20" t="s">
        <v>269</v>
      </c>
      <c r="B3" s="814"/>
      <c r="C3" s="814"/>
      <c r="D3" s="278" t="s">
        <v>2</v>
      </c>
      <c r="E3" s="278" t="s">
        <v>2</v>
      </c>
      <c r="F3" s="278" t="s">
        <v>2</v>
      </c>
      <c r="G3" s="278" t="s">
        <v>1</v>
      </c>
      <c r="H3" s="278" t="s">
        <v>2</v>
      </c>
      <c r="I3" s="278" t="s">
        <v>2</v>
      </c>
      <c r="J3" s="278" t="s">
        <v>2</v>
      </c>
      <c r="K3" s="278" t="s">
        <v>2</v>
      </c>
      <c r="L3" s="278" t="s">
        <v>1</v>
      </c>
      <c r="M3" s="278" t="s">
        <v>3</v>
      </c>
      <c r="N3" s="278" t="s">
        <v>4</v>
      </c>
      <c r="O3" s="278" t="s">
        <v>2</v>
      </c>
      <c r="P3" s="278" t="s">
        <v>3</v>
      </c>
      <c r="Q3" s="278" t="s">
        <v>2</v>
      </c>
      <c r="R3" s="278" t="s">
        <v>1</v>
      </c>
      <c r="S3" s="278" t="s">
        <v>1</v>
      </c>
      <c r="T3" s="278" t="s">
        <v>1</v>
      </c>
      <c r="U3" s="278" t="s">
        <v>1</v>
      </c>
      <c r="V3" s="278" t="s">
        <v>2</v>
      </c>
      <c r="W3" s="278" t="s">
        <v>2</v>
      </c>
      <c r="X3" s="278" t="s">
        <v>2</v>
      </c>
      <c r="Y3" s="278" t="s">
        <v>4</v>
      </c>
      <c r="Z3" s="278" t="s">
        <v>1</v>
      </c>
      <c r="AA3" s="278" t="s">
        <v>2</v>
      </c>
      <c r="AB3" s="278" t="s">
        <v>2</v>
      </c>
      <c r="AC3" s="278" t="s">
        <v>3</v>
      </c>
      <c r="AD3" s="278" t="s">
        <v>1</v>
      </c>
      <c r="AE3" s="278" t="s">
        <v>2</v>
      </c>
      <c r="AF3" s="278" t="s">
        <v>4</v>
      </c>
      <c r="AG3" s="278" t="s">
        <v>1</v>
      </c>
      <c r="AH3" s="278" t="s">
        <v>2</v>
      </c>
      <c r="AI3" s="455" t="s">
        <v>3</v>
      </c>
    </row>
    <row r="4" spans="1:35" s="13" customFormat="1" ht="13" x14ac:dyDescent="0.25">
      <c r="A4" s="230" t="s">
        <v>7</v>
      </c>
      <c r="B4" s="1024"/>
      <c r="C4" s="1024"/>
      <c r="D4" s="1184">
        <v>150.559</v>
      </c>
      <c r="E4" s="1184">
        <v>150.98500000000001</v>
      </c>
      <c r="F4" s="1184">
        <v>151.137</v>
      </c>
      <c r="G4" s="1184">
        <v>152.261</v>
      </c>
      <c r="H4" s="1184">
        <v>152.43</v>
      </c>
      <c r="I4" s="1184">
        <v>152.49200000000002</v>
      </c>
      <c r="J4" s="1184">
        <v>152.56100000000001</v>
      </c>
      <c r="K4" s="1184">
        <v>152.92700000000002</v>
      </c>
      <c r="L4" s="1184">
        <v>152.93099999999998</v>
      </c>
      <c r="M4" s="1184">
        <v>153.05799999999999</v>
      </c>
      <c r="N4" s="1184">
        <v>153.11000000000001</v>
      </c>
      <c r="O4" s="1184">
        <v>153.70400000000001</v>
      </c>
      <c r="P4" s="1184">
        <v>153.739</v>
      </c>
      <c r="Q4" s="1184">
        <v>153.78300000000002</v>
      </c>
      <c r="R4" s="1184">
        <v>154.018</v>
      </c>
      <c r="S4" s="1184">
        <v>154.047</v>
      </c>
      <c r="T4" s="1184">
        <v>154.46299999999999</v>
      </c>
      <c r="U4" s="1184">
        <v>154.648</v>
      </c>
      <c r="V4" s="1184">
        <v>155.68899999999999</v>
      </c>
      <c r="W4" s="1184">
        <v>155.76499999999999</v>
      </c>
      <c r="X4" s="1184">
        <v>156.18200000000002</v>
      </c>
      <c r="Y4" s="1184">
        <v>156.51300000000001</v>
      </c>
      <c r="Z4" s="1184">
        <v>156.62</v>
      </c>
      <c r="AA4" s="1184">
        <v>157.352</v>
      </c>
      <c r="AB4" s="1184">
        <v>157.53399999999999</v>
      </c>
      <c r="AC4" s="1184">
        <v>157.80200000000002</v>
      </c>
      <c r="AD4" s="1184">
        <v>157.97300000000001</v>
      </c>
      <c r="AE4" s="1184">
        <v>158.85399999999998</v>
      </c>
      <c r="AF4" s="1184">
        <v>160.251</v>
      </c>
      <c r="AG4" s="1184">
        <v>161.34199999999998</v>
      </c>
      <c r="AH4" s="1184">
        <v>162.37200000000001</v>
      </c>
      <c r="AI4" s="1184">
        <v>167.589</v>
      </c>
    </row>
    <row r="5" spans="1:35" s="13" customFormat="1" ht="17.25" customHeight="1" x14ac:dyDescent="0.25">
      <c r="A5" s="108" t="s">
        <v>9</v>
      </c>
      <c r="B5" s="796"/>
      <c r="C5" s="796"/>
      <c r="D5" s="967"/>
      <c r="E5" s="967"/>
      <c r="F5" s="967"/>
      <c r="G5" s="967"/>
      <c r="H5" s="967"/>
      <c r="I5" s="967"/>
      <c r="J5" s="967"/>
      <c r="K5" s="967"/>
      <c r="L5" s="967"/>
      <c r="M5" s="967"/>
      <c r="N5" s="967"/>
      <c r="O5" s="967"/>
      <c r="P5" s="967"/>
      <c r="Q5" s="967"/>
      <c r="R5" s="967"/>
      <c r="S5" s="967"/>
      <c r="T5" s="967"/>
      <c r="U5" s="967"/>
      <c r="V5" s="967"/>
      <c r="W5" s="967"/>
      <c r="X5" s="967"/>
      <c r="Y5" s="967"/>
      <c r="Z5" s="967"/>
      <c r="AA5" s="967"/>
      <c r="AB5" s="967"/>
      <c r="AC5" s="967"/>
      <c r="AD5" s="967"/>
      <c r="AE5" s="967"/>
      <c r="AF5" s="967"/>
      <c r="AG5" s="967"/>
      <c r="AH5" s="967"/>
      <c r="AI5" s="997"/>
    </row>
    <row r="6" spans="1:35" s="13" customFormat="1" ht="17.25" customHeight="1" x14ac:dyDescent="0.25">
      <c r="A6" s="501" t="s">
        <v>241</v>
      </c>
      <c r="B6" s="184">
        <v>100</v>
      </c>
      <c r="C6" s="54">
        <v>98.94671112684577</v>
      </c>
      <c r="D6" s="1142">
        <v>101.02334149259922</v>
      </c>
      <c r="E6" s="1142">
        <v>97.439507925668494</v>
      </c>
      <c r="F6" s="1142">
        <v>111.3847947101885</v>
      </c>
      <c r="G6" s="1142">
        <v>101.98355707043815</v>
      </c>
      <c r="H6" s="1142">
        <v>102.28229335877896</v>
      </c>
      <c r="I6" s="1142">
        <v>101.14356321526687</v>
      </c>
      <c r="J6" s="1142">
        <v>97.229670447184589</v>
      </c>
      <c r="K6" s="1142">
        <v>106.36693683512389</v>
      </c>
      <c r="L6" s="1142">
        <v>95.413080992640005</v>
      </c>
      <c r="M6" s="1142">
        <v>99.32932933607016</v>
      </c>
      <c r="N6" s="1142">
        <v>102.03796016527178</v>
      </c>
      <c r="O6" s="1142">
        <v>104.34663757114079</v>
      </c>
      <c r="P6" s="1142">
        <v>99.106577732886166</v>
      </c>
      <c r="Q6" s="1142">
        <v>99.415937597631213</v>
      </c>
      <c r="R6" s="1142">
        <v>98.060990412585838</v>
      </c>
      <c r="S6" s="1142">
        <v>99.486657675702617</v>
      </c>
      <c r="T6" s="1142">
        <v>95.689364339303054</v>
      </c>
      <c r="U6" s="1143">
        <v>97.807185607828387</v>
      </c>
      <c r="V6" s="1142">
        <v>98.764098128098084</v>
      </c>
      <c r="W6" s="1142">
        <v>97.300869390421767</v>
      </c>
      <c r="X6" s="1142">
        <v>103.61718866374184</v>
      </c>
      <c r="Y6" s="1142">
        <v>97.807185637001012</v>
      </c>
      <c r="Z6" s="1142">
        <v>105.38820732687495</v>
      </c>
      <c r="AA6" s="505">
        <v>103.36620483381836</v>
      </c>
      <c r="AB6" s="505">
        <v>108.8584019941835</v>
      </c>
      <c r="AC6" s="505">
        <v>98.595226440116079</v>
      </c>
      <c r="AD6" s="505">
        <v>96.621165976253934</v>
      </c>
      <c r="AE6" s="505">
        <v>101.50075639306195</v>
      </c>
      <c r="AF6" s="505">
        <v>103.41444617542415</v>
      </c>
      <c r="AG6" s="505">
        <v>101.20971622982958</v>
      </c>
      <c r="AH6" s="505">
        <v>108.33859462375187</v>
      </c>
      <c r="AI6" s="459">
        <v>101.23312383794482</v>
      </c>
    </row>
    <row r="7" spans="1:35" s="13" customFormat="1" ht="17.25" customHeight="1" x14ac:dyDescent="0.25">
      <c r="A7" s="513" t="s">
        <v>265</v>
      </c>
      <c r="B7" s="187">
        <f>65+11.74125523</f>
        <v>76.741255230000007</v>
      </c>
      <c r="C7" s="61">
        <f>65+11.4263162661115</f>
        <v>76.426316266111499</v>
      </c>
      <c r="D7" s="1144">
        <f>65+12.3955468023642</f>
        <v>77.395546802364194</v>
      </c>
      <c r="E7" s="1144">
        <f>65+11.1750471856919</f>
        <v>76.175047185691895</v>
      </c>
      <c r="F7" s="1144">
        <f>65+13.9764943569082</f>
        <v>78.976494356908205</v>
      </c>
      <c r="G7" s="1144">
        <f>65+10.7389992821474</f>
        <v>75.738999282147404</v>
      </c>
      <c r="H7" s="321">
        <f>65+13.8021417365787</f>
        <v>78.802141736578704</v>
      </c>
      <c r="I7" s="321">
        <f>65+11.0940463555422</f>
        <v>76.094046355542204</v>
      </c>
      <c r="J7" s="321">
        <f>65+11.4118557832224</f>
        <v>76.411855783222393</v>
      </c>
      <c r="K7" s="321">
        <f>65+11.6418557832224</f>
        <v>76.641855783222397</v>
      </c>
      <c r="L7" s="321">
        <f>65+10.3081929358436</f>
        <v>75.308192935843607</v>
      </c>
      <c r="M7" s="321">
        <f>65+12.0022936750114</f>
        <v>77.002293675011401</v>
      </c>
      <c r="N7" s="1144">
        <f>65+9.75759324908351</f>
        <v>74.757593249083513</v>
      </c>
      <c r="O7" s="1144">
        <f>65+10.7422020411477</f>
        <v>75.742202041147692</v>
      </c>
      <c r="P7" s="1144">
        <f>65+10.4447075541889</f>
        <v>75.444707554188895</v>
      </c>
      <c r="Q7" s="1144">
        <f>65+11.1418565999066</f>
        <v>76.141856599906603</v>
      </c>
      <c r="R7" s="1144">
        <f>65+11.2700342762727</f>
        <v>76.270034276272696</v>
      </c>
      <c r="S7" s="1144">
        <f>65+12.5451929358436</f>
        <v>77.545192935843602</v>
      </c>
      <c r="T7" s="1144">
        <f>65+11.8159219062341</f>
        <v>76.815921906234095</v>
      </c>
      <c r="U7" s="1145">
        <f>65+11.4324437576206</f>
        <v>76.432443757620604</v>
      </c>
      <c r="V7" s="1144">
        <f>65+10.774145044353</f>
        <v>75.774145044353006</v>
      </c>
      <c r="W7" s="1144">
        <f>65+11.3768442336308</f>
        <v>76.376844233630806</v>
      </c>
      <c r="X7" s="1144">
        <f>65+10.4949285848803</f>
        <v>75.494928584880299</v>
      </c>
      <c r="Y7" s="1144">
        <f>65+9.92468041795878</f>
        <v>74.924680417958783</v>
      </c>
      <c r="Z7" s="1144">
        <f>65+12.251393271283</f>
        <v>77.251393271283007</v>
      </c>
      <c r="AA7" s="1144">
        <f>65+10.362270858707</f>
        <v>75.362270858707006</v>
      </c>
      <c r="AB7" s="1144">
        <f>65+11.2240190461763</f>
        <v>76.224019046176295</v>
      </c>
      <c r="AC7" s="1144">
        <f>65+9.71162024944351</f>
        <v>74.711620249443513</v>
      </c>
      <c r="AD7" s="1144">
        <f>65+13.6551109420682</f>
        <v>78.655110942068205</v>
      </c>
      <c r="AE7" s="1144">
        <f>65+11.5769210086046</f>
        <v>76.5769210086046</v>
      </c>
      <c r="AF7" s="1144">
        <f>65+11.5570747099767</f>
        <v>76.557074709976703</v>
      </c>
      <c r="AG7" s="1144">
        <f>65+10.3211929358436</f>
        <v>75.321192935843598</v>
      </c>
      <c r="AH7" s="321">
        <f>65+13.7494677783692</f>
        <v>78.749467778369194</v>
      </c>
      <c r="AI7" s="980">
        <f>65+10.0569643860975</f>
        <v>75.056964386097505</v>
      </c>
    </row>
    <row r="8" spans="1:35" s="13" customFormat="1" ht="17.25" customHeight="1" x14ac:dyDescent="0.25">
      <c r="A8" s="287" t="s">
        <v>345</v>
      </c>
      <c r="B8" s="133">
        <v>100</v>
      </c>
      <c r="C8" s="133">
        <v>98.666587494023943</v>
      </c>
      <c r="D8" s="1146">
        <v>101.96154277189328</v>
      </c>
      <c r="E8" s="1146">
        <v>96.716046669178752</v>
      </c>
      <c r="F8" s="1146">
        <v>114.97631411107884</v>
      </c>
      <c r="G8" s="1146">
        <v>100.653654151418</v>
      </c>
      <c r="H8" s="322">
        <v>104.7365691980123</v>
      </c>
      <c r="I8" s="322">
        <v>99.443427947054445</v>
      </c>
      <c r="J8" s="322">
        <v>97.184271663798214</v>
      </c>
      <c r="K8" s="322">
        <v>106.51452905933968</v>
      </c>
      <c r="L8" s="322">
        <v>93.89592642337422</v>
      </c>
      <c r="M8" s="322">
        <v>99.712970238500205</v>
      </c>
      <c r="N8" s="1146">
        <v>99.809428508785672</v>
      </c>
      <c r="O8" s="1146">
        <v>103.18957741606464</v>
      </c>
      <c r="P8" s="1146">
        <v>97.411539418356284</v>
      </c>
      <c r="Q8" s="1146">
        <v>97.481936043628536</v>
      </c>
      <c r="R8" s="1146">
        <v>97.356285934093506</v>
      </c>
      <c r="S8" s="1146">
        <v>100.73074738591212</v>
      </c>
      <c r="T8" s="1146">
        <v>96.020496374883749</v>
      </c>
      <c r="U8" s="1147">
        <v>97.511116472703122</v>
      </c>
      <c r="V8" s="1146">
        <v>97.688945502313217</v>
      </c>
      <c r="W8" s="1146">
        <v>97.063523353191854</v>
      </c>
      <c r="X8" s="1146">
        <v>101.47029644659831</v>
      </c>
      <c r="Y8" s="1146">
        <v>95.598695759311752</v>
      </c>
      <c r="Z8" s="1146">
        <v>106.24910141312262</v>
      </c>
      <c r="AA8" s="1146">
        <v>102.14368128726036</v>
      </c>
      <c r="AB8" s="1146">
        <v>108.19507351418198</v>
      </c>
      <c r="AC8" s="1146">
        <v>96.236845305606465</v>
      </c>
      <c r="AD8" s="1146">
        <v>98.932460990741973</v>
      </c>
      <c r="AE8" s="1146">
        <v>101.23361604120458</v>
      </c>
      <c r="AF8" s="1146">
        <v>103.31252384206584</v>
      </c>
      <c r="AG8" s="1146">
        <v>99.717390034678431</v>
      </c>
      <c r="AH8" s="322">
        <v>111.63986173963541</v>
      </c>
      <c r="AI8" s="699">
        <v>99.258273622977939</v>
      </c>
    </row>
    <row r="9" spans="1:35" s="13" customFormat="1" ht="17.25" customHeight="1" x14ac:dyDescent="0.25">
      <c r="A9" s="286" t="s">
        <v>323</v>
      </c>
      <c r="B9" s="231">
        <v>69.328283760000005</v>
      </c>
      <c r="C9" s="104">
        <v>71.420744529628621</v>
      </c>
      <c r="D9" s="506">
        <v>72.896598472343825</v>
      </c>
      <c r="E9" s="506">
        <v>74.963386613559621</v>
      </c>
      <c r="F9" s="506">
        <v>66.801470632091693</v>
      </c>
      <c r="G9" s="506">
        <v>69.419519594368396</v>
      </c>
      <c r="H9" s="506">
        <v>70.522200094413492</v>
      </c>
      <c r="I9" s="506">
        <v>70.866637298758377</v>
      </c>
      <c r="J9" s="506">
        <v>76.638137298758366</v>
      </c>
      <c r="K9" s="506">
        <v>64.320303965425026</v>
      </c>
      <c r="L9" s="506">
        <v>70.768502153988393</v>
      </c>
      <c r="M9" s="506">
        <v>71.999335680434982</v>
      </c>
      <c r="N9" s="506">
        <v>64.437607242695606</v>
      </c>
      <c r="O9" s="506">
        <v>71.321589231619569</v>
      </c>
      <c r="P9" s="506">
        <v>65.776617361746702</v>
      </c>
      <c r="Q9" s="506">
        <v>69.86923387832671</v>
      </c>
      <c r="R9" s="506">
        <v>70.325519634384392</v>
      </c>
      <c r="S9" s="506">
        <v>73.96830215398839</v>
      </c>
      <c r="T9" s="506">
        <v>68.640847898592824</v>
      </c>
      <c r="U9" s="521">
        <v>71.164257537632565</v>
      </c>
      <c r="V9" s="506">
        <v>72.385463495036262</v>
      </c>
      <c r="W9" s="506">
        <v>76.44647332516395</v>
      </c>
      <c r="X9" s="506">
        <v>65.172900544993368</v>
      </c>
      <c r="Y9" s="506">
        <v>74.426166549296099</v>
      </c>
      <c r="Z9" s="506">
        <v>69.123904258966434</v>
      </c>
      <c r="AA9" s="506">
        <v>66.593567211660044</v>
      </c>
      <c r="AB9" s="506">
        <v>65.581848432041937</v>
      </c>
      <c r="AC9" s="506">
        <v>73.687062926775042</v>
      </c>
      <c r="AD9" s="506">
        <v>76.090123361080416</v>
      </c>
      <c r="AE9" s="506">
        <v>71.23272347960814</v>
      </c>
      <c r="AF9" s="506">
        <v>66.607009892093927</v>
      </c>
      <c r="AG9" s="506">
        <v>70.280302153988387</v>
      </c>
      <c r="AH9" s="506">
        <v>65.043900544993363</v>
      </c>
      <c r="AI9" s="1023">
        <v>73.673981211397219</v>
      </c>
    </row>
    <row r="10" spans="1:35" s="13" customFormat="1" ht="17.25" customHeight="1" x14ac:dyDescent="0.25">
      <c r="A10" s="108" t="s">
        <v>10</v>
      </c>
      <c r="B10" s="973"/>
      <c r="C10" s="796"/>
      <c r="D10" s="974"/>
      <c r="E10" s="974"/>
      <c r="F10" s="974"/>
      <c r="G10" s="974"/>
      <c r="H10" s="974"/>
      <c r="I10" s="974"/>
      <c r="J10" s="974"/>
      <c r="K10" s="974"/>
      <c r="L10" s="974"/>
      <c r="M10" s="974"/>
      <c r="N10" s="974"/>
      <c r="O10" s="974"/>
      <c r="P10" s="974"/>
      <c r="Q10" s="974"/>
      <c r="R10" s="974"/>
      <c r="S10" s="974"/>
      <c r="T10" s="974"/>
      <c r="U10" s="974"/>
      <c r="V10" s="974"/>
      <c r="W10" s="974"/>
      <c r="X10" s="974"/>
      <c r="Y10" s="974"/>
      <c r="Z10" s="974"/>
      <c r="AA10" s="974"/>
      <c r="AB10" s="974"/>
      <c r="AC10" s="974"/>
      <c r="AD10" s="974"/>
      <c r="AE10" s="974"/>
      <c r="AF10" s="974"/>
      <c r="AG10" s="974"/>
      <c r="AH10" s="974"/>
      <c r="AI10" s="975"/>
    </row>
    <row r="11" spans="1:35" s="13" customFormat="1" ht="17.25" customHeight="1" x14ac:dyDescent="0.25">
      <c r="A11" s="285" t="s">
        <v>242</v>
      </c>
      <c r="B11" s="193">
        <v>100</v>
      </c>
      <c r="C11" s="57">
        <v>94.160937990140951</v>
      </c>
      <c r="D11" s="283">
        <v>100.00638123099789</v>
      </c>
      <c r="E11" s="283">
        <v>95.544548639008809</v>
      </c>
      <c r="F11" s="283">
        <v>101.29048069078284</v>
      </c>
      <c r="G11" s="283">
        <v>97.014466194706316</v>
      </c>
      <c r="H11" s="283">
        <v>98.184066791911377</v>
      </c>
      <c r="I11" s="283">
        <v>94.96543776618023</v>
      </c>
      <c r="J11" s="283">
        <v>93.693332944353685</v>
      </c>
      <c r="K11" s="283">
        <v>101.60876778730218</v>
      </c>
      <c r="L11" s="283">
        <v>94.204864914105855</v>
      </c>
      <c r="M11" s="283">
        <v>99.249588566111598</v>
      </c>
      <c r="N11" s="283">
        <v>99.804282150011005</v>
      </c>
      <c r="O11" s="283">
        <v>100.71120065891812</v>
      </c>
      <c r="P11" s="283">
        <v>93.597998723922018</v>
      </c>
      <c r="Q11" s="283">
        <v>98.150055667581668</v>
      </c>
      <c r="R11" s="283">
        <v>96.132518030915762</v>
      </c>
      <c r="S11" s="283">
        <v>93.782847531048688</v>
      </c>
      <c r="T11" s="283">
        <v>89.588822598403908</v>
      </c>
      <c r="U11" s="1036">
        <v>97.88513004307994</v>
      </c>
      <c r="V11" s="283">
        <v>94.637145564603358</v>
      </c>
      <c r="W11" s="283">
        <v>93.124460649701078</v>
      </c>
      <c r="X11" s="283">
        <v>96.820554811956569</v>
      </c>
      <c r="Y11" s="283">
        <v>93.432596291982165</v>
      </c>
      <c r="Z11" s="283">
        <v>97.908354613639034</v>
      </c>
      <c r="AA11" s="283">
        <v>95.466008414310295</v>
      </c>
      <c r="AB11" s="283">
        <v>97.248052019791444</v>
      </c>
      <c r="AC11" s="283">
        <v>91.520013745912095</v>
      </c>
      <c r="AD11" s="283">
        <v>89.729049984946599</v>
      </c>
      <c r="AE11" s="283">
        <v>92.532870848077792</v>
      </c>
      <c r="AF11" s="283">
        <v>96.264569517261009</v>
      </c>
      <c r="AG11" s="283">
        <v>91.930729698581331</v>
      </c>
      <c r="AH11" s="283">
        <v>94.537236231024295</v>
      </c>
      <c r="AI11" s="1041">
        <v>91.160511128420069</v>
      </c>
    </row>
    <row r="12" spans="1:35" s="13" customFormat="1" ht="30" customHeight="1" x14ac:dyDescent="0.25">
      <c r="A12" s="304" t="s">
        <v>336</v>
      </c>
      <c r="B12" s="98">
        <v>100</v>
      </c>
      <c r="C12" s="57">
        <v>95.071462593274603</v>
      </c>
      <c r="D12" s="322">
        <v>101.73105256797305</v>
      </c>
      <c r="E12" s="322">
        <v>97.098022158363307</v>
      </c>
      <c r="F12" s="322">
        <v>104.02222980353334</v>
      </c>
      <c r="G12" s="322">
        <v>96.377449913051151</v>
      </c>
      <c r="H12" s="322">
        <v>98.596799320110122</v>
      </c>
      <c r="I12" s="322">
        <v>96.033591611833288</v>
      </c>
      <c r="J12" s="322">
        <v>96.840017873548263</v>
      </c>
      <c r="K12" s="322">
        <v>106.43686991574164</v>
      </c>
      <c r="L12" s="322">
        <v>94.110841971488469</v>
      </c>
      <c r="M12" s="322">
        <v>101.41564330906191</v>
      </c>
      <c r="N12" s="322">
        <v>101.04580338617791</v>
      </c>
      <c r="O12" s="322">
        <v>102.73916412994565</v>
      </c>
      <c r="P12" s="322">
        <v>95.135743404607666</v>
      </c>
      <c r="Q12" s="322">
        <v>98.637433467494773</v>
      </c>
      <c r="R12" s="322">
        <v>96.307849663628616</v>
      </c>
      <c r="S12" s="322">
        <v>94.478140528549858</v>
      </c>
      <c r="T12" s="322">
        <v>89.579013296834205</v>
      </c>
      <c r="U12" s="518">
        <v>100.87146115879757</v>
      </c>
      <c r="V12" s="322">
        <v>94.926437775804089</v>
      </c>
      <c r="W12" s="322">
        <v>96.608138241015368</v>
      </c>
      <c r="X12" s="322">
        <v>96.904912553360077</v>
      </c>
      <c r="Y12" s="322">
        <v>95.622290540703332</v>
      </c>
      <c r="Z12" s="322">
        <v>99.381419597271204</v>
      </c>
      <c r="AA12" s="322">
        <v>95.021330209455613</v>
      </c>
      <c r="AB12" s="322">
        <v>96.241753106850524</v>
      </c>
      <c r="AC12" s="322">
        <v>90.978282806283786</v>
      </c>
      <c r="AD12" s="322">
        <v>91.875091363604284</v>
      </c>
      <c r="AE12" s="322">
        <v>92.769490548895135</v>
      </c>
      <c r="AF12" s="322">
        <v>99.833660831119801</v>
      </c>
      <c r="AG12" s="322">
        <v>92.111067898817481</v>
      </c>
      <c r="AH12" s="322">
        <v>94.903629740602668</v>
      </c>
      <c r="AI12" s="822">
        <v>89.036914935056444</v>
      </c>
    </row>
    <row r="13" spans="1:35" s="13" customFormat="1" ht="17.25" customHeight="1" x14ac:dyDescent="0.25">
      <c r="A13" s="503" t="s">
        <v>243</v>
      </c>
      <c r="B13" s="193">
        <v>100</v>
      </c>
      <c r="C13" s="57">
        <v>96.73020728155096</v>
      </c>
      <c r="D13" s="283">
        <v>103.87143549754855</v>
      </c>
      <c r="E13" s="283">
        <v>101.8368054028122</v>
      </c>
      <c r="F13" s="283">
        <v>99.397216922792694</v>
      </c>
      <c r="G13" s="283">
        <v>101.4344460953817</v>
      </c>
      <c r="H13" s="283">
        <v>96.733131985813102</v>
      </c>
      <c r="I13" s="283">
        <v>98.200750428397527</v>
      </c>
      <c r="J13" s="283">
        <v>101.21534976393002</v>
      </c>
      <c r="K13" s="283">
        <v>104.78545140043177</v>
      </c>
      <c r="L13" s="283">
        <v>95.756806077835662</v>
      </c>
      <c r="M13" s="283">
        <v>101.57739902690535</v>
      </c>
      <c r="N13" s="283">
        <v>104.17153153890702</v>
      </c>
      <c r="O13" s="283">
        <v>105.46173043148063</v>
      </c>
      <c r="P13" s="283">
        <v>96.015058583597863</v>
      </c>
      <c r="Q13" s="283">
        <v>99.208063097900251</v>
      </c>
      <c r="R13" s="283">
        <v>99.681833987778163</v>
      </c>
      <c r="S13" s="283">
        <v>95.316815173445178</v>
      </c>
      <c r="T13" s="283">
        <v>93.812149359308691</v>
      </c>
      <c r="U13" s="524">
        <v>100.42710238928881</v>
      </c>
      <c r="V13" s="283">
        <v>97.206700616322138</v>
      </c>
      <c r="W13" s="283">
        <v>95.085401585941582</v>
      </c>
      <c r="X13" s="283">
        <v>101.82705657641499</v>
      </c>
      <c r="Y13" s="283">
        <v>96.821787385166814</v>
      </c>
      <c r="Z13" s="283">
        <v>98.464369373613991</v>
      </c>
      <c r="AA13" s="283">
        <v>98.750428447970279</v>
      </c>
      <c r="AB13" s="283">
        <v>106.11825621859018</v>
      </c>
      <c r="AC13" s="283">
        <v>96.697800651146281</v>
      </c>
      <c r="AD13" s="283">
        <v>90.883619324789962</v>
      </c>
      <c r="AE13" s="283">
        <v>97.849128914584838</v>
      </c>
      <c r="AF13" s="283">
        <v>98.985487002258779</v>
      </c>
      <c r="AG13" s="283">
        <v>94.703143648900536</v>
      </c>
      <c r="AH13" s="283">
        <v>95.694476583829641</v>
      </c>
      <c r="AI13" s="1042">
        <v>92.425248506247442</v>
      </c>
    </row>
    <row r="14" spans="1:35" s="13" customFormat="1" ht="17.25" customHeight="1" x14ac:dyDescent="0.25">
      <c r="A14" s="306" t="s">
        <v>244</v>
      </c>
      <c r="B14" s="195">
        <v>100</v>
      </c>
      <c r="C14" s="219">
        <v>95.368153554058708</v>
      </c>
      <c r="D14" s="538">
        <v>101.37051803095694</v>
      </c>
      <c r="E14" s="538">
        <v>98.448667145379602</v>
      </c>
      <c r="F14" s="506">
        <v>100.34384880678776</v>
      </c>
      <c r="G14" s="506">
        <v>99.054456918094957</v>
      </c>
      <c r="H14" s="538">
        <v>97.531146129167155</v>
      </c>
      <c r="I14" s="506">
        <v>96.583094097288878</v>
      </c>
      <c r="J14" s="538">
        <v>97.454341354141846</v>
      </c>
      <c r="K14" s="506">
        <v>103.19710959386697</v>
      </c>
      <c r="L14" s="538">
        <v>94.980835495970766</v>
      </c>
      <c r="M14" s="506">
        <v>100.24722162073749</v>
      </c>
      <c r="N14" s="538">
        <v>101.67596045953788</v>
      </c>
      <c r="O14" s="506">
        <v>103.08646554519937</v>
      </c>
      <c r="P14" s="538">
        <v>94.713564813003188</v>
      </c>
      <c r="Q14" s="506">
        <v>98.573258639709096</v>
      </c>
      <c r="R14" s="538">
        <v>97.770663857159946</v>
      </c>
      <c r="S14" s="506">
        <v>94.549831352246926</v>
      </c>
      <c r="T14" s="538">
        <v>91.576270485888514</v>
      </c>
      <c r="U14" s="506">
        <v>99.040572018629433</v>
      </c>
      <c r="V14" s="506">
        <v>95.823094050012031</v>
      </c>
      <c r="W14" s="538">
        <v>93.816557450727146</v>
      </c>
      <c r="X14" s="506">
        <v>98.823155517739934</v>
      </c>
      <c r="Y14" s="538">
        <v>94.97313769797519</v>
      </c>
      <c r="Z14" s="506">
        <v>98.164976810550556</v>
      </c>
      <c r="AA14" s="506">
        <v>96.779776427774294</v>
      </c>
      <c r="AB14" s="538">
        <v>100.37871232524982</v>
      </c>
      <c r="AC14" s="506">
        <v>93.739065276726748</v>
      </c>
      <c r="AD14" s="538">
        <v>90.253854230329949</v>
      </c>
      <c r="AE14" s="538">
        <v>94.409197224492033</v>
      </c>
      <c r="AF14" s="506">
        <v>97.550821419259961</v>
      </c>
      <c r="AG14" s="538">
        <v>93.316936673740926</v>
      </c>
      <c r="AH14" s="538">
        <v>95.000132372146439</v>
      </c>
      <c r="AI14" s="1023">
        <v>91.74423607203272</v>
      </c>
    </row>
    <row r="15" spans="1:35" s="13" customFormat="1" ht="17.25" customHeight="1" x14ac:dyDescent="0.25">
      <c r="A15" s="286" t="s">
        <v>324</v>
      </c>
      <c r="B15" s="193">
        <v>65.824922619999995</v>
      </c>
      <c r="C15" s="57">
        <v>66.734736558650226</v>
      </c>
      <c r="D15" s="931">
        <v>70.228589286384477</v>
      </c>
      <c r="E15" s="931">
        <v>67.476419680753125</v>
      </c>
      <c r="F15" s="931">
        <v>62.622430092371239</v>
      </c>
      <c r="G15" s="931">
        <v>65.128856559380964</v>
      </c>
      <c r="H15" s="931">
        <v>66.266457760331619</v>
      </c>
      <c r="I15" s="931">
        <v>67.731596759037899</v>
      </c>
      <c r="J15" s="931">
        <v>69.827763425704589</v>
      </c>
      <c r="K15" s="931">
        <v>62.365930092371251</v>
      </c>
      <c r="L15" s="931">
        <v>66.95044792269826</v>
      </c>
      <c r="M15" s="931">
        <v>68.94740969115756</v>
      </c>
      <c r="N15" s="931">
        <v>62.810580338669219</v>
      </c>
      <c r="O15" s="283">
        <v>67.02691367200255</v>
      </c>
      <c r="P15" s="931">
        <v>62.297836347419782</v>
      </c>
      <c r="Q15" s="931">
        <v>66.399164291475472</v>
      </c>
      <c r="R15" s="931">
        <v>67.140618233268412</v>
      </c>
      <c r="S15" s="931">
        <v>71.53364792269825</v>
      </c>
      <c r="T15" s="931">
        <v>61.992505530659244</v>
      </c>
      <c r="U15" s="1037">
        <v>64.982198702648347</v>
      </c>
      <c r="V15" s="931">
        <v>67.107419680753111</v>
      </c>
      <c r="W15" s="931">
        <v>72.45558928638448</v>
      </c>
      <c r="X15" s="931">
        <v>64.067164291475464</v>
      </c>
      <c r="Y15" s="931">
        <v>67.586337301135941</v>
      </c>
      <c r="Z15" s="931">
        <v>63.424888855475785</v>
      </c>
      <c r="AA15" s="931">
        <v>62.956830958142127</v>
      </c>
      <c r="AB15" s="931">
        <v>62.097589286384483</v>
      </c>
      <c r="AC15" s="931">
        <v>68.923298580046449</v>
      </c>
      <c r="AD15" s="931">
        <v>71.932416635838891</v>
      </c>
      <c r="AE15" s="931">
        <v>67.32925595305116</v>
      </c>
      <c r="AF15" s="283">
        <v>62.536224047445018</v>
      </c>
      <c r="AG15" s="931">
        <v>66.675447922698268</v>
      </c>
      <c r="AH15" s="931">
        <v>63.756997624808783</v>
      </c>
      <c r="AI15" s="1043">
        <v>68.110462338608983</v>
      </c>
    </row>
    <row r="16" spans="1:35" s="13" customFormat="1" ht="17.25" customHeight="1" x14ac:dyDescent="0.25">
      <c r="A16" s="192" t="s">
        <v>8</v>
      </c>
      <c r="B16" s="969"/>
      <c r="C16" s="970"/>
      <c r="D16" s="967"/>
      <c r="E16" s="967"/>
      <c r="F16" s="967"/>
      <c r="G16" s="967"/>
      <c r="H16" s="967"/>
      <c r="I16" s="967"/>
      <c r="J16" s="967"/>
      <c r="K16" s="967"/>
      <c r="L16" s="967"/>
      <c r="M16" s="967"/>
      <c r="N16" s="967"/>
      <c r="O16" s="798"/>
      <c r="P16" s="967"/>
      <c r="Q16" s="967"/>
      <c r="R16" s="967"/>
      <c r="S16" s="967"/>
      <c r="T16" s="967"/>
      <c r="U16" s="967"/>
      <c r="V16" s="967"/>
      <c r="W16" s="967"/>
      <c r="X16" s="967"/>
      <c r="Y16" s="967"/>
      <c r="Z16" s="967"/>
      <c r="AA16" s="967"/>
      <c r="AB16" s="967"/>
      <c r="AC16" s="967"/>
      <c r="AD16" s="967"/>
      <c r="AE16" s="967"/>
      <c r="AF16" s="967"/>
      <c r="AG16" s="967"/>
      <c r="AH16" s="967"/>
      <c r="AI16" s="997"/>
    </row>
    <row r="17" spans="1:56" s="13" customFormat="1" ht="17.25" customHeight="1" x14ac:dyDescent="0.25">
      <c r="A17" s="501" t="s">
        <v>245</v>
      </c>
      <c r="B17" s="184">
        <v>100</v>
      </c>
      <c r="C17" s="54">
        <v>86.684148461161939</v>
      </c>
      <c r="D17" s="505">
        <v>91.946024448175166</v>
      </c>
      <c r="E17" s="505">
        <v>87.880178861611029</v>
      </c>
      <c r="F17" s="983">
        <v>96.871154743095417</v>
      </c>
      <c r="G17" s="505">
        <v>102.90815154709195</v>
      </c>
      <c r="H17" s="505">
        <v>85.598628635748142</v>
      </c>
      <c r="I17" s="505">
        <v>86.025220201866347</v>
      </c>
      <c r="J17" s="505">
        <v>90.014669690034978</v>
      </c>
      <c r="K17" s="505">
        <v>98.261971995851454</v>
      </c>
      <c r="L17" s="505">
        <v>80.847179137909308</v>
      </c>
      <c r="M17" s="505">
        <v>103.70682016199522</v>
      </c>
      <c r="N17" s="505">
        <v>100.24650026825442</v>
      </c>
      <c r="O17" s="983">
        <v>89.915149559768111</v>
      </c>
      <c r="P17" s="505">
        <v>96.725288541057594</v>
      </c>
      <c r="Q17" s="505">
        <v>91.283314686756782</v>
      </c>
      <c r="R17" s="505">
        <v>79.752264371314538</v>
      </c>
      <c r="S17" s="505">
        <v>94.316146217230937</v>
      </c>
      <c r="T17" s="505">
        <v>87.663919391266219</v>
      </c>
      <c r="U17" s="512">
        <v>88.894218669799201</v>
      </c>
      <c r="V17" s="505">
        <v>82.018005592535289</v>
      </c>
      <c r="W17" s="505">
        <v>76.756836224250691</v>
      </c>
      <c r="X17" s="505">
        <v>86.964461112409111</v>
      </c>
      <c r="Y17" s="505">
        <v>75.703415529080331</v>
      </c>
      <c r="Z17" s="505">
        <v>92.104917753405473</v>
      </c>
      <c r="AA17" s="505">
        <v>91.698119832315598</v>
      </c>
      <c r="AB17" s="505">
        <v>106.76005828430117</v>
      </c>
      <c r="AC17" s="505">
        <v>84.733144918567305</v>
      </c>
      <c r="AD17" s="505">
        <v>80.274182402248783</v>
      </c>
      <c r="AE17" s="505">
        <v>82.695259524172087</v>
      </c>
      <c r="AF17" s="505">
        <v>93.561659693074063</v>
      </c>
      <c r="AG17" s="505">
        <v>84.377089592272625</v>
      </c>
      <c r="AH17" s="505">
        <v>93.08893708507162</v>
      </c>
      <c r="AI17" s="1039">
        <v>80.069468436479639</v>
      </c>
      <c r="AK17" s="181"/>
      <c r="AL17" s="181"/>
    </row>
    <row r="18" spans="1:56" s="13" customFormat="1" ht="17.25" customHeight="1" x14ac:dyDescent="0.25">
      <c r="A18" s="503" t="s">
        <v>246</v>
      </c>
      <c r="B18" s="193">
        <v>100</v>
      </c>
      <c r="C18" s="57">
        <v>89.729904589518526</v>
      </c>
      <c r="D18" s="283">
        <v>100.21614338610821</v>
      </c>
      <c r="E18" s="283">
        <v>94.075904700778722</v>
      </c>
      <c r="F18" s="283">
        <v>101.21960001503281</v>
      </c>
      <c r="G18" s="283">
        <v>101.96101164574151</v>
      </c>
      <c r="H18" s="283">
        <v>94.572805874652147</v>
      </c>
      <c r="I18" s="283">
        <v>90.953820599681904</v>
      </c>
      <c r="J18" s="283">
        <v>93.197335306347995</v>
      </c>
      <c r="K18" s="283">
        <v>99.533564720326169</v>
      </c>
      <c r="L18" s="283">
        <v>86.45255104402392</v>
      </c>
      <c r="M18" s="283">
        <v>102.01564461736859</v>
      </c>
      <c r="N18" s="283">
        <v>101.32665715681497</v>
      </c>
      <c r="O18" s="283">
        <v>95.497776073091558</v>
      </c>
      <c r="P18" s="283">
        <v>99.184215050812341</v>
      </c>
      <c r="Q18" s="283">
        <v>92.416752717863972</v>
      </c>
      <c r="R18" s="283">
        <v>85.861048038261245</v>
      </c>
      <c r="S18" s="283">
        <v>95.871233694373032</v>
      </c>
      <c r="T18" s="283">
        <v>88.281018210641832</v>
      </c>
      <c r="U18" s="524">
        <v>92.497866536179316</v>
      </c>
      <c r="V18" s="283">
        <v>86.347545599143444</v>
      </c>
      <c r="W18" s="283">
        <v>84.067936457875078</v>
      </c>
      <c r="X18" s="283">
        <v>91.553339482268171</v>
      </c>
      <c r="Y18" s="283">
        <v>83.698097274557597</v>
      </c>
      <c r="Z18" s="283">
        <v>93.969078792618944</v>
      </c>
      <c r="AA18" s="283">
        <v>91.349383599844003</v>
      </c>
      <c r="AB18" s="283">
        <v>104.24427211930372</v>
      </c>
      <c r="AC18" s="283">
        <v>88.180019228672194</v>
      </c>
      <c r="AD18" s="283">
        <v>83.209103144509044</v>
      </c>
      <c r="AE18" s="283">
        <v>86.74485736099156</v>
      </c>
      <c r="AF18" s="283">
        <v>95.630715282435077</v>
      </c>
      <c r="AG18" s="283">
        <v>85.498037514278735</v>
      </c>
      <c r="AH18" s="283">
        <v>93.728868894792924</v>
      </c>
      <c r="AI18" s="1042">
        <v>80.325999126264136</v>
      </c>
      <c r="AK18" s="181"/>
      <c r="AL18" s="181"/>
    </row>
    <row r="19" spans="1:56" s="13" customFormat="1" ht="17.25" customHeight="1" x14ac:dyDescent="0.25">
      <c r="A19" s="285" t="s">
        <v>337</v>
      </c>
      <c r="B19" s="193">
        <v>100</v>
      </c>
      <c r="C19" s="57">
        <v>104.61107960018202</v>
      </c>
      <c r="D19" s="283">
        <v>99.263115689543412</v>
      </c>
      <c r="E19" s="283">
        <v>99.592424638025363</v>
      </c>
      <c r="F19" s="283">
        <v>112.70404225876675</v>
      </c>
      <c r="G19" s="283">
        <v>104.31631816805786</v>
      </c>
      <c r="H19" s="283">
        <v>106.01170149733825</v>
      </c>
      <c r="I19" s="283">
        <v>105.76920514581523</v>
      </c>
      <c r="J19" s="283">
        <v>104.4092296042035</v>
      </c>
      <c r="K19" s="283">
        <v>107.1655159118212</v>
      </c>
      <c r="L19" s="283">
        <v>100.83903224441272</v>
      </c>
      <c r="M19" s="283">
        <v>97.273772045102874</v>
      </c>
      <c r="N19" s="283">
        <v>101.4155977894838</v>
      </c>
      <c r="O19" s="283">
        <v>107.27598272756035</v>
      </c>
      <c r="P19" s="283">
        <v>99.585237412730194</v>
      </c>
      <c r="Q19" s="283">
        <v>104.57475249602881</v>
      </c>
      <c r="R19" s="283">
        <v>105.96218407798912</v>
      </c>
      <c r="S19" s="283">
        <v>101.84811333330327</v>
      </c>
      <c r="T19" s="283">
        <v>99.195658760784283</v>
      </c>
      <c r="U19" s="524">
        <v>99.526207223118476</v>
      </c>
      <c r="V19" s="283">
        <v>108.7872327944462</v>
      </c>
      <c r="W19" s="283">
        <v>107.22052986710409</v>
      </c>
      <c r="X19" s="283">
        <v>110.86074631622661</v>
      </c>
      <c r="Y19" s="283">
        <v>106.87913542300741</v>
      </c>
      <c r="Z19" s="283">
        <v>112.50012877466349</v>
      </c>
      <c r="AA19" s="283">
        <v>107.17012566704359</v>
      </c>
      <c r="AB19" s="283">
        <v>111.87273633565998</v>
      </c>
      <c r="AC19" s="283">
        <v>105.74507007664363</v>
      </c>
      <c r="AD19" s="283">
        <v>104.31038507489399</v>
      </c>
      <c r="AE19" s="283">
        <v>109.78994931339751</v>
      </c>
      <c r="AF19" s="283">
        <v>108.79222976340088</v>
      </c>
      <c r="AG19" s="283">
        <v>110.7336329215895</v>
      </c>
      <c r="AH19" s="283">
        <v>114.8420487605633</v>
      </c>
      <c r="AI19" s="1042">
        <v>113.12780986918366</v>
      </c>
      <c r="AK19" s="181"/>
      <c r="AL19" s="181"/>
    </row>
    <row r="20" spans="1:56" s="13" customFormat="1" ht="17.25" customHeight="1" x14ac:dyDescent="0.25">
      <c r="A20" s="285" t="s">
        <v>338</v>
      </c>
      <c r="B20" s="193">
        <v>100</v>
      </c>
      <c r="C20" s="57">
        <v>102.58930083598308</v>
      </c>
      <c r="D20" s="283">
        <v>105.24687862621792</v>
      </c>
      <c r="E20" s="283">
        <v>98.698226378560392</v>
      </c>
      <c r="F20" s="283">
        <v>122.14811070856989</v>
      </c>
      <c r="G20" s="283">
        <v>102.33257319553836</v>
      </c>
      <c r="H20" s="283">
        <v>103.26614592663331</v>
      </c>
      <c r="I20" s="283">
        <v>108.37770113650217</v>
      </c>
      <c r="J20" s="283">
        <v>96.209031597348542</v>
      </c>
      <c r="K20" s="283">
        <v>116.5154514459049</v>
      </c>
      <c r="L20" s="283">
        <v>101.41189193186582</v>
      </c>
      <c r="M20" s="283">
        <v>99.093657559441269</v>
      </c>
      <c r="N20" s="283">
        <v>103.7528586323149</v>
      </c>
      <c r="O20" s="283">
        <v>106.86602986875982</v>
      </c>
      <c r="P20" s="283">
        <v>99.630189944956356</v>
      </c>
      <c r="Q20" s="283">
        <v>101.70464607979542</v>
      </c>
      <c r="R20" s="283">
        <v>101.40761801181883</v>
      </c>
      <c r="S20" s="283">
        <v>100.25044062837833</v>
      </c>
      <c r="T20" s="283">
        <v>100.13347216137259</v>
      </c>
      <c r="U20" s="524">
        <v>101.65219421376453</v>
      </c>
      <c r="V20" s="283">
        <v>102.35951282003764</v>
      </c>
      <c r="W20" s="283">
        <v>99.382688379036438</v>
      </c>
      <c r="X20" s="283">
        <v>110.17640852876322</v>
      </c>
      <c r="Y20" s="283">
        <v>101.53625671214829</v>
      </c>
      <c r="Z20" s="283">
        <v>108.06800656694953</v>
      </c>
      <c r="AA20" s="283">
        <v>112.0666135913017</v>
      </c>
      <c r="AB20" s="283">
        <v>113.28594465834539</v>
      </c>
      <c r="AC20" s="283">
        <v>101.73539008780483</v>
      </c>
      <c r="AD20" s="283">
        <v>100.0914050680222</v>
      </c>
      <c r="AE20" s="283">
        <v>108.32130822731277</v>
      </c>
      <c r="AF20" s="283">
        <v>107.16641385599075</v>
      </c>
      <c r="AG20" s="283">
        <v>109.00914986997242</v>
      </c>
      <c r="AH20" s="283">
        <v>118.16992632335382</v>
      </c>
      <c r="AI20" s="1042">
        <v>108.37982861683213</v>
      </c>
      <c r="AK20" s="181"/>
      <c r="AL20" s="181"/>
    </row>
    <row r="21" spans="1:56" s="13" customFormat="1" ht="17.25" customHeight="1" x14ac:dyDescent="0.25">
      <c r="A21" s="503" t="s">
        <v>247</v>
      </c>
      <c r="B21" s="195">
        <v>100</v>
      </c>
      <c r="C21" s="104">
        <v>96.637829642291891</v>
      </c>
      <c r="D21" s="506">
        <v>100.5494040148028</v>
      </c>
      <c r="E21" s="506">
        <v>96.868597747205357</v>
      </c>
      <c r="F21" s="506">
        <v>109.11639265062011</v>
      </c>
      <c r="G21" s="506">
        <v>96.105973340701709</v>
      </c>
      <c r="H21" s="506">
        <v>105.12570104703352</v>
      </c>
      <c r="I21" s="506">
        <v>97.21371560954212</v>
      </c>
      <c r="J21" s="506">
        <v>89.658209710010112</v>
      </c>
      <c r="K21" s="506">
        <v>100.52001478761935</v>
      </c>
      <c r="L21" s="506">
        <v>89.58932835744271</v>
      </c>
      <c r="M21" s="506">
        <v>100.08851502270316</v>
      </c>
      <c r="N21" s="506">
        <v>102.21751753650869</v>
      </c>
      <c r="O21" s="506">
        <v>109.49331419065261</v>
      </c>
      <c r="P21" s="506">
        <v>97.24389179870235</v>
      </c>
      <c r="Q21" s="506">
        <v>96.28965237058452</v>
      </c>
      <c r="R21" s="506">
        <v>96.230435286576096</v>
      </c>
      <c r="S21" s="506">
        <v>99.559657212222305</v>
      </c>
      <c r="T21" s="506">
        <v>93.995180062413496</v>
      </c>
      <c r="U21" s="521">
        <v>97.473957999232269</v>
      </c>
      <c r="V21" s="506">
        <v>92.010263737016601</v>
      </c>
      <c r="W21" s="506">
        <v>94.494234506547571</v>
      </c>
      <c r="X21" s="506">
        <v>97.907419774354835</v>
      </c>
      <c r="Y21" s="506">
        <v>96.17391184849545</v>
      </c>
      <c r="Z21" s="506">
        <v>104.96251629136985</v>
      </c>
      <c r="AA21" s="506">
        <v>103.23020877672884</v>
      </c>
      <c r="AB21" s="506">
        <v>103.83147441175635</v>
      </c>
      <c r="AC21" s="506">
        <v>95.817630013566998</v>
      </c>
      <c r="AD21" s="506">
        <v>97.510791623194606</v>
      </c>
      <c r="AE21" s="506">
        <v>97.839363879967024</v>
      </c>
      <c r="AF21" s="506">
        <v>98.936799584685374</v>
      </c>
      <c r="AG21" s="506">
        <v>94.776544401270556</v>
      </c>
      <c r="AH21" s="506">
        <v>104.61883218549285</v>
      </c>
      <c r="AI21" s="1023">
        <v>99.369934423894406</v>
      </c>
      <c r="AK21" s="181"/>
      <c r="AL21" s="181"/>
    </row>
    <row r="22" spans="1:56" s="13" customFormat="1" ht="15" customHeight="1" x14ac:dyDescent="0.25">
      <c r="A22" s="199" t="s">
        <v>327</v>
      </c>
      <c r="B22" s="963"/>
      <c r="C22" s="964"/>
      <c r="D22" s="967"/>
      <c r="E22" s="967"/>
      <c r="F22" s="967"/>
      <c r="G22" s="967"/>
      <c r="H22" s="967"/>
      <c r="I22" s="967"/>
      <c r="J22" s="967"/>
      <c r="K22" s="967"/>
      <c r="L22" s="967"/>
      <c r="M22" s="967"/>
      <c r="N22" s="967"/>
      <c r="O22" s="967"/>
      <c r="P22" s="967"/>
      <c r="Q22" s="967"/>
      <c r="R22" s="967"/>
      <c r="S22" s="967"/>
      <c r="T22" s="967"/>
      <c r="U22" s="967"/>
      <c r="V22" s="967"/>
      <c r="W22" s="967"/>
      <c r="X22" s="967"/>
      <c r="Y22" s="967"/>
      <c r="Z22" s="967"/>
      <c r="AA22" s="967"/>
      <c r="AB22" s="967"/>
      <c r="AC22" s="967"/>
      <c r="AD22" s="967"/>
      <c r="AE22" s="967"/>
      <c r="AF22" s="967"/>
      <c r="AG22" s="1000"/>
      <c r="AH22" s="967"/>
      <c r="AI22" s="997"/>
    </row>
    <row r="23" spans="1:56" s="13" customFormat="1" ht="17.25" customHeight="1" x14ac:dyDescent="0.25">
      <c r="A23" s="284" t="s">
        <v>248</v>
      </c>
      <c r="B23" s="184">
        <v>100</v>
      </c>
      <c r="C23" s="54">
        <v>99.254959298952656</v>
      </c>
      <c r="D23" s="505">
        <v>109.07244161987076</v>
      </c>
      <c r="E23" s="505">
        <v>107.26380472500053</v>
      </c>
      <c r="F23" s="505">
        <v>103.57630462831118</v>
      </c>
      <c r="G23" s="505">
        <v>106.40609279898401</v>
      </c>
      <c r="H23" s="505">
        <v>105.95837195664515</v>
      </c>
      <c r="I23" s="505">
        <v>102.35709322119173</v>
      </c>
      <c r="J23" s="505">
        <v>104.43912315477289</v>
      </c>
      <c r="K23" s="505">
        <v>110.09671594057373</v>
      </c>
      <c r="L23" s="505">
        <v>100.42129775490503</v>
      </c>
      <c r="M23" s="505">
        <v>108.04895509427774</v>
      </c>
      <c r="N23" s="505">
        <v>113.71778802816598</v>
      </c>
      <c r="O23" s="505">
        <v>107.40798529790101</v>
      </c>
      <c r="P23" s="505">
        <v>103.33286187155022</v>
      </c>
      <c r="Q23" s="505">
        <v>105.25654498802062</v>
      </c>
      <c r="R23" s="505">
        <v>102.00387965651367</v>
      </c>
      <c r="S23" s="505">
        <v>103.21375006447163</v>
      </c>
      <c r="T23" s="505">
        <v>89.990384058742805</v>
      </c>
      <c r="U23" s="512">
        <v>110.61071004654166</v>
      </c>
      <c r="V23" s="505">
        <v>98.615136787523383</v>
      </c>
      <c r="W23" s="505">
        <v>101.05765332278031</v>
      </c>
      <c r="X23" s="505">
        <v>100.34533179786895</v>
      </c>
      <c r="Y23" s="505">
        <v>98.166600014534865</v>
      </c>
      <c r="Z23" s="505">
        <v>100.52274044308783</v>
      </c>
      <c r="AA23" s="505">
        <v>99.051096974291482</v>
      </c>
      <c r="AB23" s="505">
        <v>98.448715070535116</v>
      </c>
      <c r="AC23" s="505">
        <v>89.764371268790683</v>
      </c>
      <c r="AD23" s="505">
        <v>90.934275142685777</v>
      </c>
      <c r="AE23" s="505">
        <v>92.742321191223496</v>
      </c>
      <c r="AF23" s="505">
        <v>98.997301822494094</v>
      </c>
      <c r="AG23" s="505">
        <v>90.279842490589871</v>
      </c>
      <c r="AH23" s="505">
        <v>87.3123308533646</v>
      </c>
      <c r="AI23" s="1039">
        <v>81.033857046492102</v>
      </c>
    </row>
    <row r="24" spans="1:56" s="167" customFormat="1" ht="17.25" customHeight="1" x14ac:dyDescent="0.25">
      <c r="A24" s="513" t="s">
        <v>328</v>
      </c>
      <c r="B24" s="201">
        <f>65+5.950051405</f>
        <v>70.950051404999996</v>
      </c>
      <c r="C24" s="61">
        <f>65+4.99386857375305</f>
        <v>69.993868573753048</v>
      </c>
      <c r="D24" s="321">
        <f>65+4.78351000000001</f>
        <v>69.783510000000007</v>
      </c>
      <c r="E24" s="321">
        <f>65+2.89928999999999</f>
        <v>67.899289999999993</v>
      </c>
      <c r="F24" s="321">
        <f>65+6.7162</f>
        <v>71.716200000000001</v>
      </c>
      <c r="G24" s="321">
        <f>65+3.05692000000001</f>
        <v>68.056920000000005</v>
      </c>
      <c r="H24" s="321">
        <f>65+5.71083</f>
        <v>70.710830000000001</v>
      </c>
      <c r="I24" s="321">
        <f>65+3.47286</f>
        <v>68.472859999999997</v>
      </c>
      <c r="J24" s="321">
        <f>65+4.04786</f>
        <v>69.04786</v>
      </c>
      <c r="K24" s="321">
        <f>65+5.65953</f>
        <v>70.659530000000004</v>
      </c>
      <c r="L24" s="321">
        <f>65+3.60198</f>
        <v>68.601979999999998</v>
      </c>
      <c r="M24" s="321">
        <f>65+4.14605</f>
        <v>69.146050000000002</v>
      </c>
      <c r="N24" s="321">
        <f>65+2.39232</f>
        <v>67.392319999999998</v>
      </c>
      <c r="O24" s="321">
        <f>65+4.02949</f>
        <v>69.029489999999996</v>
      </c>
      <c r="P24" s="321">
        <f>65+4.02236000000001</f>
        <v>69.022360000000006</v>
      </c>
      <c r="Q24" s="321">
        <f>65+3.62103999999999</f>
        <v>68.621039999999994</v>
      </c>
      <c r="R24" s="321">
        <f>65+4.05135</f>
        <v>69.051349999999999</v>
      </c>
      <c r="S24" s="321">
        <f>65+3.70598</f>
        <v>68.705979999999997</v>
      </c>
      <c r="T24" s="321">
        <f>65+5.37094999999999</f>
        <v>70.370949999999993</v>
      </c>
      <c r="U24" s="516">
        <f>65+4.16919</f>
        <v>69.16919</v>
      </c>
      <c r="V24" s="321">
        <f>65+4.29109</f>
        <v>69.291089999999997</v>
      </c>
      <c r="W24" s="321">
        <f>65+5.85335000000001</f>
        <v>70.853350000000006</v>
      </c>
      <c r="X24" s="321">
        <f>65+4.10548</f>
        <v>69.10548</v>
      </c>
      <c r="Y24" s="321">
        <f>65+5.50787</f>
        <v>70.507869999999997</v>
      </c>
      <c r="Z24" s="321">
        <f>65+5.77676</f>
        <v>70.776759999999996</v>
      </c>
      <c r="AA24" s="321">
        <f>65+4.97882</f>
        <v>69.978819999999999</v>
      </c>
      <c r="AB24" s="321">
        <f>65+5.29362999999999</f>
        <v>70.293629999999993</v>
      </c>
      <c r="AC24" s="321">
        <f>65+5.52030999999999</f>
        <v>70.520309999999995</v>
      </c>
      <c r="AD24" s="321">
        <f>65+8.29473</f>
        <v>73.294730000000001</v>
      </c>
      <c r="AE24" s="321">
        <f>65+5.66307</f>
        <v>70.663070000000005</v>
      </c>
      <c r="AF24" s="321">
        <f>65+6.75517000000001</f>
        <v>71.755170000000007</v>
      </c>
      <c r="AG24" s="321">
        <f>65+6.40298</f>
        <v>71.402979999999999</v>
      </c>
      <c r="AH24" s="321">
        <f>65+8.50104</f>
        <v>73.501040000000003</v>
      </c>
      <c r="AI24" s="1040">
        <f>65+8.03910999999999</f>
        <v>73.039109999999994</v>
      </c>
    </row>
    <row r="25" spans="1:56" s="13" customFormat="1" ht="17.25" customHeight="1" x14ac:dyDescent="0.25">
      <c r="A25" s="285" t="s">
        <v>249</v>
      </c>
      <c r="B25" s="193">
        <v>100</v>
      </c>
      <c r="C25" s="57">
        <v>92.549797351722205</v>
      </c>
      <c r="D25" s="283">
        <v>93.854518363689579</v>
      </c>
      <c r="E25" s="283">
        <v>88.205220078882562</v>
      </c>
      <c r="F25" s="283">
        <v>100.9146541789147</v>
      </c>
      <c r="G25" s="283">
        <v>87.684088153645632</v>
      </c>
      <c r="H25" s="283">
        <v>89.426262648874882</v>
      </c>
      <c r="I25" s="283">
        <v>92.427414427964735</v>
      </c>
      <c r="J25" s="283">
        <v>90.44467315126839</v>
      </c>
      <c r="K25" s="283">
        <v>98.041752080470729</v>
      </c>
      <c r="L25" s="283">
        <v>92.516727918296212</v>
      </c>
      <c r="M25" s="283">
        <v>94.194322356636107</v>
      </c>
      <c r="N25" s="283">
        <v>90.03443198161122</v>
      </c>
      <c r="O25" s="283">
        <v>100.6593990762378</v>
      </c>
      <c r="P25" s="283">
        <v>86.773533629722436</v>
      </c>
      <c r="Q25" s="283">
        <v>96.177397458814511</v>
      </c>
      <c r="R25" s="283">
        <v>93.672735214832755</v>
      </c>
      <c r="S25" s="283">
        <v>85.391071265277802</v>
      </c>
      <c r="T25" s="283">
        <v>92.666433473106025</v>
      </c>
      <c r="U25" s="524">
        <v>87.723327821670978</v>
      </c>
      <c r="V25" s="283">
        <v>96.599959823536096</v>
      </c>
      <c r="W25" s="283">
        <v>91.259571500701298</v>
      </c>
      <c r="X25" s="283">
        <v>99.771908858346521</v>
      </c>
      <c r="Y25" s="283">
        <v>95.496393475451086</v>
      </c>
      <c r="Z25" s="283">
        <v>102.11442296136968</v>
      </c>
      <c r="AA25" s="283">
        <v>94.54535502488767</v>
      </c>
      <c r="AB25" s="283">
        <v>98.944203749511658</v>
      </c>
      <c r="AC25" s="283">
        <v>98.387049019985398</v>
      </c>
      <c r="AD25" s="283">
        <v>89.443105661832405</v>
      </c>
      <c r="AE25" s="283">
        <v>97.881728283488755</v>
      </c>
      <c r="AF25" s="283">
        <v>104.34000710236523</v>
      </c>
      <c r="AG25" s="283">
        <v>98.78961220355562</v>
      </c>
      <c r="AH25" s="283">
        <v>106.09771965639494</v>
      </c>
      <c r="AI25" s="1042">
        <v>108.54326444228437</v>
      </c>
    </row>
    <row r="26" spans="1:56" s="13" customFormat="1" ht="17.25" customHeight="1" x14ac:dyDescent="0.25">
      <c r="A26" s="529" t="s">
        <v>340</v>
      </c>
      <c r="B26" s="201">
        <f>65+7.90219787347759</f>
        <v>72.90219787347759</v>
      </c>
      <c r="C26" s="61">
        <f>65+8.40559563019492</f>
        <v>73.405595630194924</v>
      </c>
      <c r="D26" s="321">
        <f>65+7.92043870843372</f>
        <v>72.920438708433721</v>
      </c>
      <c r="E26" s="321">
        <f>65+8.64313626953121</f>
        <v>73.643136269531212</v>
      </c>
      <c r="F26" s="321">
        <f>65+11.289122009487</f>
        <v>76.289122009487002</v>
      </c>
      <c r="G26" s="321">
        <f>65+8.5295768313737</f>
        <v>73.529576831373703</v>
      </c>
      <c r="H26" s="321">
        <f>65+11.0454351018431</f>
        <v>76.045435101843097</v>
      </c>
      <c r="I26" s="321">
        <f>65+8.4107886761537</f>
        <v>73.4107886761537</v>
      </c>
      <c r="J26" s="321">
        <f>65+7.82578867615369</f>
        <v>72.825788676153692</v>
      </c>
      <c r="K26" s="321">
        <f>65+10.7757886761537</f>
        <v>75.775788676153695</v>
      </c>
      <c r="L26" s="321">
        <f>65+7.6411077460772</f>
        <v>72.641107746077196</v>
      </c>
      <c r="M26" s="321">
        <f>65+9.84750150076749</f>
        <v>74.847501500767493</v>
      </c>
      <c r="N26" s="321">
        <f>65+6.99705511600537</f>
        <v>71.99705511600537</v>
      </c>
      <c r="O26" s="321">
        <f>65+9.0991268193241</f>
        <v>74.099126819324098</v>
      </c>
      <c r="P26" s="321">
        <f>65+8.0064261450519</f>
        <v>73.006426145051904</v>
      </c>
      <c r="Q26" s="321">
        <f>65+8.38817701441918</f>
        <v>73.388177014419185</v>
      </c>
      <c r="R26" s="321">
        <f>65+7.99078447681978</f>
        <v>72.990784476819783</v>
      </c>
      <c r="S26" s="321">
        <f>65+8.89110774607721</f>
        <v>73.891107746077211</v>
      </c>
      <c r="T26" s="321">
        <f>65+9.82121653816303</f>
        <v>74.821216538163029</v>
      </c>
      <c r="U26" s="516">
        <f>65+8.89672436153374</f>
        <v>73.896724361533742</v>
      </c>
      <c r="V26" s="321">
        <f>65+7.54608201610482</f>
        <v>72.546082016104819</v>
      </c>
      <c r="W26" s="321">
        <f>65+9.10665178324102</f>
        <v>74.10665178324102</v>
      </c>
      <c r="X26" s="321">
        <f>65+8.30262145886364</f>
        <v>73.302621458863641</v>
      </c>
      <c r="Y26" s="321">
        <f>65+7.71093334060056</f>
        <v>72.710933340600562</v>
      </c>
      <c r="Z26" s="321">
        <f>65+7.54344396928964</f>
        <v>72.54344396928964</v>
      </c>
      <c r="AA26" s="321">
        <f>65+7.70595479219696</f>
        <v>72.705954792196962</v>
      </c>
      <c r="AB26" s="321">
        <f>65+7.13534611888559</f>
        <v>72.135346118885593</v>
      </c>
      <c r="AC26" s="321">
        <f>65+7.76480658665385</f>
        <v>72.764806586653847</v>
      </c>
      <c r="AD26" s="321">
        <f>65+8.99995354593715</f>
        <v>73.999953545937146</v>
      </c>
      <c r="AE26" s="321">
        <f>65+8.4248336734511</f>
        <v>73.424833673451104</v>
      </c>
      <c r="AF26" s="321">
        <f>65+7.54797215510806</f>
        <v>72.547972155108056</v>
      </c>
      <c r="AG26" s="321">
        <f>65+8.0311077460772</f>
        <v>73.031107746077197</v>
      </c>
      <c r="AH26" s="321">
        <f>65+9.78373256997477</f>
        <v>74.783732569974774</v>
      </c>
      <c r="AI26" s="1040">
        <f>65+6.66753943712025</f>
        <v>71.667539437120254</v>
      </c>
      <c r="AK26" s="181"/>
      <c r="AL26" s="181"/>
      <c r="AM26" s="181"/>
      <c r="AN26" s="181"/>
      <c r="AO26" s="181"/>
      <c r="AP26" s="181"/>
      <c r="AQ26" s="181"/>
      <c r="AR26" s="181"/>
      <c r="AS26" s="181"/>
      <c r="AT26" s="181"/>
      <c r="AU26" s="181"/>
      <c r="AV26" s="181"/>
      <c r="AW26" s="181"/>
      <c r="AX26" s="181"/>
      <c r="AY26" s="181"/>
      <c r="AZ26" s="181"/>
      <c r="BA26" s="181"/>
      <c r="BB26" s="181"/>
      <c r="BC26" s="181"/>
      <c r="BD26" s="181"/>
    </row>
    <row r="27" spans="1:56" s="13" customFormat="1" ht="17.25" customHeight="1" x14ac:dyDescent="0.25">
      <c r="A27" s="285" t="s">
        <v>250</v>
      </c>
      <c r="B27" s="193">
        <v>100</v>
      </c>
      <c r="C27" s="57">
        <v>95.846616035121841</v>
      </c>
      <c r="D27" s="283">
        <v>98.027316314501519</v>
      </c>
      <c r="E27" s="283">
        <v>91.226825641487366</v>
      </c>
      <c r="F27" s="283">
        <v>106.97610448638261</v>
      </c>
      <c r="G27" s="283">
        <v>96.748171028268686</v>
      </c>
      <c r="H27" s="283">
        <v>106.19392392125381</v>
      </c>
      <c r="I27" s="283">
        <v>91.208129746673279</v>
      </c>
      <c r="J27" s="283">
        <v>87.578041518186367</v>
      </c>
      <c r="K27" s="283">
        <v>100.28019044834457</v>
      </c>
      <c r="L27" s="283">
        <v>93.964401193196238</v>
      </c>
      <c r="M27" s="283">
        <v>98.594136723069809</v>
      </c>
      <c r="N27" s="283">
        <v>92.928565862008512</v>
      </c>
      <c r="O27" s="283">
        <v>95.360424035137981</v>
      </c>
      <c r="P27" s="283">
        <v>92.998948194397101</v>
      </c>
      <c r="Q27" s="283">
        <v>96.356836231989405</v>
      </c>
      <c r="R27" s="283">
        <v>99.155352124943349</v>
      </c>
      <c r="S27" s="283">
        <v>94.175059162932257</v>
      </c>
      <c r="T27" s="283">
        <v>94.978644082486014</v>
      </c>
      <c r="U27" s="524">
        <v>94.45075778082429</v>
      </c>
      <c r="V27" s="283">
        <v>96.367933392895139</v>
      </c>
      <c r="W27" s="283">
        <v>91.9100721958294</v>
      </c>
      <c r="X27" s="283">
        <v>98.396569641453084</v>
      </c>
      <c r="Y27" s="283">
        <v>93.446709232569944</v>
      </c>
      <c r="Z27" s="283">
        <v>98.725722719165645</v>
      </c>
      <c r="AA27" s="283">
        <v>98.927390107693299</v>
      </c>
      <c r="AB27" s="283">
        <v>100.43412123623025</v>
      </c>
      <c r="AC27" s="283">
        <v>97.86164886830197</v>
      </c>
      <c r="AD27" s="283">
        <v>93.078922987907603</v>
      </c>
      <c r="AE27" s="283">
        <v>98.186626404114392</v>
      </c>
      <c r="AF27" s="283">
        <v>95.004223978811112</v>
      </c>
      <c r="AG27" s="283">
        <v>99.742448363098745</v>
      </c>
      <c r="AH27" s="283">
        <v>103.23248665920582</v>
      </c>
      <c r="AI27" s="1042">
        <v>99.279377004625445</v>
      </c>
    </row>
    <row r="28" spans="1:56" s="13" customFormat="1" ht="17.25" customHeight="1" x14ac:dyDescent="0.25">
      <c r="A28" s="288" t="s">
        <v>341</v>
      </c>
      <c r="B28" s="205">
        <v>100</v>
      </c>
      <c r="C28" s="231">
        <v>93.504479360467712</v>
      </c>
      <c r="D28" s="507">
        <v>98.892186590651377</v>
      </c>
      <c r="E28" s="507">
        <v>90.990298862986748</v>
      </c>
      <c r="F28" s="506">
        <v>102.01499406139085</v>
      </c>
      <c r="G28" s="507">
        <v>96.091082064787969</v>
      </c>
      <c r="H28" s="507">
        <v>101.10281328870347</v>
      </c>
      <c r="I28" s="507">
        <v>94.33727763268142</v>
      </c>
      <c r="J28" s="507">
        <v>87.883215045463871</v>
      </c>
      <c r="K28" s="507">
        <v>97.222824133315726</v>
      </c>
      <c r="L28" s="507">
        <v>92.905336873764782</v>
      </c>
      <c r="M28" s="507">
        <v>95.867235863202552</v>
      </c>
      <c r="N28" s="507">
        <v>94.350840953974654</v>
      </c>
      <c r="O28" s="507">
        <v>100.8189147571848</v>
      </c>
      <c r="P28" s="507">
        <v>89.856690590328654</v>
      </c>
      <c r="Q28" s="507">
        <v>96.657146117240487</v>
      </c>
      <c r="R28" s="507">
        <v>93.281790424403454</v>
      </c>
      <c r="S28" s="507">
        <v>91.641843139759274</v>
      </c>
      <c r="T28" s="507">
        <v>91.92355964039487</v>
      </c>
      <c r="U28" s="531">
        <v>92.739628964533267</v>
      </c>
      <c r="V28" s="507">
        <v>92.572559059467281</v>
      </c>
      <c r="W28" s="507">
        <v>89.155889878138424</v>
      </c>
      <c r="X28" s="507">
        <v>95.420212311577387</v>
      </c>
      <c r="Y28" s="507">
        <v>90.953741234970849</v>
      </c>
      <c r="Z28" s="507">
        <v>97.84268451832493</v>
      </c>
      <c r="AA28" s="507">
        <v>96.585054883168112</v>
      </c>
      <c r="AB28" s="507">
        <v>101.52471162779854</v>
      </c>
      <c r="AC28" s="507">
        <v>94.230688817566943</v>
      </c>
      <c r="AD28" s="507">
        <v>94.838331372356976</v>
      </c>
      <c r="AE28" s="507">
        <v>92.936547139052323</v>
      </c>
      <c r="AF28" s="507">
        <v>93.39461436233006</v>
      </c>
      <c r="AG28" s="507">
        <v>92.826795371380669</v>
      </c>
      <c r="AH28" s="507">
        <v>103.0998258780256</v>
      </c>
      <c r="AI28" s="1044">
        <v>100.24896529293994</v>
      </c>
    </row>
    <row r="29" spans="1:56" s="13" customFormat="1" ht="17.25" customHeight="1" x14ac:dyDescent="0.25">
      <c r="A29" s="207" t="s">
        <v>11</v>
      </c>
      <c r="B29" s="957"/>
      <c r="C29" s="958"/>
      <c r="D29" s="974"/>
      <c r="E29" s="974"/>
      <c r="F29" s="974"/>
      <c r="G29" s="974"/>
      <c r="H29" s="974"/>
      <c r="I29" s="974"/>
      <c r="J29" s="974"/>
      <c r="K29" s="974"/>
      <c r="L29" s="974"/>
      <c r="M29" s="974"/>
      <c r="N29" s="974"/>
      <c r="O29" s="974"/>
      <c r="P29" s="974"/>
      <c r="Q29" s="974"/>
      <c r="R29" s="974"/>
      <c r="S29" s="974"/>
      <c r="T29" s="974"/>
      <c r="U29" s="974"/>
      <c r="V29" s="974"/>
      <c r="W29" s="974"/>
      <c r="X29" s="974"/>
      <c r="Y29" s="974"/>
      <c r="Z29" s="974"/>
      <c r="AA29" s="974"/>
      <c r="AB29" s="974"/>
      <c r="AC29" s="974"/>
      <c r="AD29" s="974"/>
      <c r="AE29" s="974"/>
      <c r="AF29" s="974"/>
      <c r="AG29" s="974"/>
      <c r="AH29" s="974"/>
      <c r="AI29" s="975"/>
    </row>
    <row r="30" spans="1:56" s="13" customFormat="1" ht="17.25" customHeight="1" x14ac:dyDescent="0.25">
      <c r="A30" s="375" t="s">
        <v>310</v>
      </c>
      <c r="B30" s="208">
        <v>7.3282239349999996</v>
      </c>
      <c r="C30" s="208">
        <v>7.2052643180275338</v>
      </c>
      <c r="D30" s="1038">
        <v>7.5908380531881976</v>
      </c>
      <c r="E30" s="562">
        <v>7.2373313827723136</v>
      </c>
      <c r="F30" s="562" t="s">
        <v>178</v>
      </c>
      <c r="G30" s="508">
        <v>7.2686823660241417</v>
      </c>
      <c r="H30" s="313">
        <v>7.2685375493380961</v>
      </c>
      <c r="I30" s="508" t="s">
        <v>180</v>
      </c>
      <c r="J30" s="508" t="s">
        <v>181</v>
      </c>
      <c r="K30" s="562" t="s">
        <v>178</v>
      </c>
      <c r="L30" s="313">
        <v>7.1151446507805423</v>
      </c>
      <c r="M30" s="313">
        <v>7.5455836893957251</v>
      </c>
      <c r="N30" s="508" t="s">
        <v>233</v>
      </c>
      <c r="O30" s="508" t="s">
        <v>233</v>
      </c>
      <c r="P30" s="508">
        <v>7.2373313827723136</v>
      </c>
      <c r="Q30" s="508" t="s">
        <v>179</v>
      </c>
      <c r="R30" s="313">
        <v>7.0186823660241426</v>
      </c>
      <c r="S30" s="508">
        <v>7.4512142179923133</v>
      </c>
      <c r="T30" s="313">
        <v>6.9508475214999663</v>
      </c>
      <c r="U30" s="509">
        <v>7.2825773556015276</v>
      </c>
      <c r="V30" s="313">
        <v>7.0498313827723136</v>
      </c>
      <c r="W30" s="313">
        <v>7.3408380604202934</v>
      </c>
      <c r="X30" s="313" t="s">
        <v>230</v>
      </c>
      <c r="Y30" s="313">
        <v>6.970077356957546</v>
      </c>
      <c r="Z30" s="313">
        <v>7.4686823660241428</v>
      </c>
      <c r="AA30" s="313" t="s">
        <v>70</v>
      </c>
      <c r="AB30" s="313">
        <v>7.4241713925482768</v>
      </c>
      <c r="AC30" s="313">
        <v>7.2330836934637803</v>
      </c>
      <c r="AD30" s="313">
        <v>7.4723062175871453</v>
      </c>
      <c r="AE30" s="313">
        <v>7.0908380531881985</v>
      </c>
      <c r="AF30" s="313">
        <v>7.2608833514377533</v>
      </c>
      <c r="AG30" s="313">
        <v>7.0544287617838668</v>
      </c>
      <c r="AH30" s="313" t="s">
        <v>180</v>
      </c>
      <c r="AI30" s="936">
        <v>7.043682366024143</v>
      </c>
    </row>
    <row r="31" spans="1:56" s="13" customFormat="1" ht="17.25" customHeight="1" x14ac:dyDescent="0.25">
      <c r="A31" s="207" t="s">
        <v>12</v>
      </c>
      <c r="B31" s="957"/>
      <c r="C31" s="957"/>
      <c r="D31" s="1054"/>
      <c r="E31" s="1055"/>
      <c r="F31" s="959"/>
      <c r="G31" s="959"/>
      <c r="H31" s="959"/>
      <c r="I31" s="959"/>
      <c r="J31" s="959"/>
      <c r="K31" s="959"/>
      <c r="L31" s="959"/>
      <c r="M31" s="959"/>
      <c r="N31" s="959"/>
      <c r="O31" s="959"/>
      <c r="P31" s="959"/>
      <c r="Q31" s="959"/>
      <c r="R31" s="959"/>
      <c r="S31" s="959"/>
      <c r="T31" s="959"/>
      <c r="U31" s="1056"/>
      <c r="V31" s="959"/>
      <c r="W31" s="959"/>
      <c r="X31" s="959"/>
      <c r="Y31" s="959"/>
      <c r="Z31" s="959"/>
      <c r="AA31" s="959"/>
      <c r="AB31" s="959"/>
      <c r="AC31" s="959"/>
      <c r="AD31" s="959"/>
      <c r="AE31" s="959"/>
      <c r="AF31" s="959"/>
      <c r="AG31" s="959"/>
      <c r="AH31" s="959"/>
      <c r="AI31" s="961"/>
    </row>
    <row r="32" spans="1:56" s="13" customFormat="1" ht="17.25" customHeight="1" x14ac:dyDescent="0.25">
      <c r="A32" s="327" t="s">
        <v>314</v>
      </c>
      <c r="B32" s="144">
        <v>5.6178571428571447</v>
      </c>
      <c r="C32" s="144">
        <v>5.67</v>
      </c>
      <c r="D32" s="435">
        <v>6.5</v>
      </c>
      <c r="E32" s="923">
        <v>7.2</v>
      </c>
      <c r="F32" s="560">
        <v>5.0999999999999996</v>
      </c>
      <c r="G32" s="923">
        <v>4.3</v>
      </c>
      <c r="H32" s="332">
        <v>6.4</v>
      </c>
      <c r="I32" s="923">
        <v>7.2</v>
      </c>
      <c r="J32" s="923">
        <v>6.5</v>
      </c>
      <c r="K32" s="332">
        <v>4.9000000000000004</v>
      </c>
      <c r="L32" s="330">
        <v>6.8</v>
      </c>
      <c r="M32" s="332">
        <v>2.9</v>
      </c>
      <c r="N32" s="923">
        <v>6.8</v>
      </c>
      <c r="O32" s="330">
        <v>6.3</v>
      </c>
      <c r="P32" s="923">
        <v>7</v>
      </c>
      <c r="Q32" s="332">
        <v>6.1</v>
      </c>
      <c r="R32" s="332">
        <v>4.9000000000000004</v>
      </c>
      <c r="S32" s="923">
        <v>5.8</v>
      </c>
      <c r="T32" s="330">
        <v>4.9000000000000004</v>
      </c>
      <c r="U32" s="1033">
        <v>6.4</v>
      </c>
      <c r="V32" s="332">
        <v>4.5</v>
      </c>
      <c r="W32" s="332">
        <v>6.7</v>
      </c>
      <c r="X32" s="332">
        <v>6.1</v>
      </c>
      <c r="Y32" s="332">
        <v>6.9</v>
      </c>
      <c r="Z32" s="330">
        <v>5.4</v>
      </c>
      <c r="AA32" s="330">
        <v>5.5</v>
      </c>
      <c r="AB32" s="332">
        <v>7</v>
      </c>
      <c r="AC32" s="332">
        <v>6.9</v>
      </c>
      <c r="AD32" s="332">
        <v>6.4</v>
      </c>
      <c r="AE32" s="332">
        <v>8</v>
      </c>
      <c r="AF32" s="330">
        <v>4.0999999999999996</v>
      </c>
      <c r="AG32" s="330">
        <v>4.9000000000000004</v>
      </c>
      <c r="AH32" s="332">
        <v>5.7</v>
      </c>
      <c r="AI32" s="1045">
        <v>5.0999999999999996</v>
      </c>
    </row>
    <row r="33" spans="1:35" s="13" customFormat="1" ht="17.25" customHeight="1" x14ac:dyDescent="0.25">
      <c r="A33" s="333" t="s">
        <v>342</v>
      </c>
      <c r="B33" s="144">
        <v>5.0571428571428569</v>
      </c>
      <c r="C33" s="144">
        <v>4.5</v>
      </c>
      <c r="D33" s="436">
        <v>4.8</v>
      </c>
      <c r="E33" s="920">
        <v>5.3</v>
      </c>
      <c r="F33" s="308" t="s">
        <v>5</v>
      </c>
      <c r="G33" s="308">
        <v>4.2</v>
      </c>
      <c r="H33" s="321">
        <v>4.0999999999999996</v>
      </c>
      <c r="I33" s="308" t="s">
        <v>5</v>
      </c>
      <c r="J33" s="308" t="s">
        <v>5</v>
      </c>
      <c r="K33" s="308" t="s">
        <v>5</v>
      </c>
      <c r="L33" s="321">
        <v>4.5999999999999996</v>
      </c>
      <c r="M33" s="303">
        <v>4.2</v>
      </c>
      <c r="N33" s="920">
        <v>4.3</v>
      </c>
      <c r="O33" s="303">
        <v>4.9000000000000004</v>
      </c>
      <c r="P33" s="920">
        <v>4</v>
      </c>
      <c r="Q33" s="920">
        <v>4.8</v>
      </c>
      <c r="R33" s="303">
        <v>4.9000000000000004</v>
      </c>
      <c r="S33" s="920">
        <v>3.7</v>
      </c>
      <c r="T33" s="321">
        <v>4.8</v>
      </c>
      <c r="U33" s="310">
        <v>4.3</v>
      </c>
      <c r="V33" s="321">
        <v>5.4</v>
      </c>
      <c r="W33" s="303">
        <v>5.0999999999999996</v>
      </c>
      <c r="X33" s="920">
        <v>4.4000000000000004</v>
      </c>
      <c r="Y33" s="321">
        <v>4.5999999999999996</v>
      </c>
      <c r="Z33" s="303">
        <v>4.8</v>
      </c>
      <c r="AA33" s="920">
        <v>5.0999999999999996</v>
      </c>
      <c r="AB33" s="303">
        <v>5.5</v>
      </c>
      <c r="AC33" s="303">
        <v>4.5999999999999996</v>
      </c>
      <c r="AD33" s="303">
        <v>4.5999999999999996</v>
      </c>
      <c r="AE33" s="303">
        <v>4.7</v>
      </c>
      <c r="AF33" s="321">
        <v>2.6</v>
      </c>
      <c r="AG33" s="303">
        <v>4.5</v>
      </c>
      <c r="AH33" s="920">
        <v>3.8</v>
      </c>
      <c r="AI33" s="450">
        <v>3.6</v>
      </c>
    </row>
    <row r="34" spans="1:35" s="13" customFormat="1" ht="17.25" customHeight="1" x14ac:dyDescent="0.25">
      <c r="A34" s="326" t="s">
        <v>312</v>
      </c>
      <c r="B34" s="144">
        <v>6.411538461538461</v>
      </c>
      <c r="C34" s="144">
        <v>6.5555555555555562</v>
      </c>
      <c r="D34" s="437" t="s">
        <v>5</v>
      </c>
      <c r="E34" s="508">
        <v>6.7</v>
      </c>
      <c r="F34" s="561" t="s">
        <v>5</v>
      </c>
      <c r="G34" s="508">
        <v>7.1</v>
      </c>
      <c r="H34" s="313" t="s">
        <v>77</v>
      </c>
      <c r="I34" s="561" t="s">
        <v>5</v>
      </c>
      <c r="J34" s="561" t="s">
        <v>5</v>
      </c>
      <c r="K34" s="561" t="s">
        <v>5</v>
      </c>
      <c r="L34" s="313">
        <v>6.4</v>
      </c>
      <c r="M34" s="309" t="s">
        <v>240</v>
      </c>
      <c r="N34" s="508">
        <v>6.7</v>
      </c>
      <c r="O34" s="309" t="s">
        <v>5</v>
      </c>
      <c r="P34" s="508">
        <v>7</v>
      </c>
      <c r="Q34" s="561" t="s">
        <v>5</v>
      </c>
      <c r="R34" s="313">
        <v>6.3</v>
      </c>
      <c r="S34" s="508">
        <v>6.3</v>
      </c>
      <c r="T34" s="313">
        <v>6</v>
      </c>
      <c r="U34" s="509">
        <v>7.2</v>
      </c>
      <c r="V34" s="313">
        <v>6.4</v>
      </c>
      <c r="W34" s="309" t="s">
        <v>5</v>
      </c>
      <c r="X34" s="561" t="s">
        <v>5</v>
      </c>
      <c r="Y34" s="313">
        <v>6.4</v>
      </c>
      <c r="Z34" s="313">
        <v>6.7</v>
      </c>
      <c r="AA34" s="561" t="s">
        <v>5</v>
      </c>
      <c r="AB34" s="309" t="s">
        <v>5</v>
      </c>
      <c r="AC34" s="309" t="s">
        <v>77</v>
      </c>
      <c r="AD34" s="309" t="s">
        <v>5</v>
      </c>
      <c r="AE34" s="309" t="s">
        <v>5</v>
      </c>
      <c r="AF34" s="313">
        <v>7.1</v>
      </c>
      <c r="AG34" s="313">
        <v>6.6</v>
      </c>
      <c r="AH34" s="561" t="s">
        <v>5</v>
      </c>
      <c r="AI34" s="936">
        <v>7.2</v>
      </c>
    </row>
    <row r="35" spans="1:35" s="13" customFormat="1" ht="11.25" customHeight="1" x14ac:dyDescent="0.25">
      <c r="A35" s="1028"/>
      <c r="B35" s="1030"/>
      <c r="C35" s="1049"/>
      <c r="D35" s="1050"/>
      <c r="E35" s="1000"/>
      <c r="F35" s="1002"/>
      <c r="G35" s="967"/>
      <c r="H35" s="967"/>
      <c r="I35" s="967"/>
      <c r="J35" s="967"/>
      <c r="K35" s="967"/>
      <c r="L35" s="1000"/>
      <c r="M35" s="967"/>
      <c r="N35" s="967"/>
      <c r="O35" s="1003"/>
      <c r="P35" s="967"/>
      <c r="Q35" s="967"/>
      <c r="R35" s="967"/>
      <c r="S35" s="967"/>
      <c r="T35" s="967"/>
      <c r="U35" s="1010"/>
      <c r="V35" s="967"/>
      <c r="W35" s="967"/>
      <c r="X35" s="967"/>
      <c r="Y35" s="967"/>
      <c r="Z35" s="967"/>
      <c r="AA35" s="967"/>
      <c r="AB35" s="967"/>
      <c r="AC35" s="967"/>
      <c r="AD35" s="967"/>
      <c r="AE35" s="1008"/>
      <c r="AF35" s="967"/>
      <c r="AG35" s="1051"/>
      <c r="AH35" s="967"/>
      <c r="AI35" s="1011"/>
    </row>
    <row r="36" spans="1:35" s="13" customFormat="1" ht="15" customHeight="1" x14ac:dyDescent="0.25">
      <c r="A36" s="118" t="s">
        <v>285</v>
      </c>
      <c r="B36" s="944"/>
      <c r="C36" s="944"/>
      <c r="D36" s="438">
        <v>2021</v>
      </c>
      <c r="E36" s="307">
        <v>2019</v>
      </c>
      <c r="F36" s="307">
        <v>2023</v>
      </c>
      <c r="G36" s="279">
        <v>2018</v>
      </c>
      <c r="H36" s="279">
        <v>2020</v>
      </c>
      <c r="I36" s="279">
        <v>2023</v>
      </c>
      <c r="J36" s="279">
        <v>2023</v>
      </c>
      <c r="K36" s="279">
        <v>2023</v>
      </c>
      <c r="L36" s="279">
        <v>2010</v>
      </c>
      <c r="M36" s="279">
        <v>2020</v>
      </c>
      <c r="N36" s="279">
        <v>2019</v>
      </c>
      <c r="O36" s="279">
        <v>2024</v>
      </c>
      <c r="P36" s="307">
        <v>2019</v>
      </c>
      <c r="Q36" s="279">
        <v>2022</v>
      </c>
      <c r="R36" s="279">
        <v>2018</v>
      </c>
      <c r="S36" s="307">
        <v>2001</v>
      </c>
      <c r="T36" s="338">
        <v>2009</v>
      </c>
      <c r="U36" s="337">
        <v>2015</v>
      </c>
      <c r="V36" s="279">
        <v>2019</v>
      </c>
      <c r="W36" s="279">
        <v>2021</v>
      </c>
      <c r="X36" s="279">
        <v>2022</v>
      </c>
      <c r="Y36" s="279">
        <v>2015</v>
      </c>
      <c r="Z36" s="279">
        <v>2018</v>
      </c>
      <c r="AA36" s="279">
        <v>2022</v>
      </c>
      <c r="AB36" s="279">
        <v>2021</v>
      </c>
      <c r="AC36" s="279">
        <v>2020</v>
      </c>
      <c r="AD36" s="279">
        <v>2017</v>
      </c>
      <c r="AE36" s="279">
        <v>2021</v>
      </c>
      <c r="AF36" s="338">
        <v>2009</v>
      </c>
      <c r="AG36" s="338">
        <v>1998</v>
      </c>
      <c r="AH36" s="279">
        <v>2022</v>
      </c>
      <c r="AI36" s="1032">
        <v>2018</v>
      </c>
    </row>
    <row r="37" spans="1:35" s="13" customFormat="1" ht="42.5" customHeight="1" x14ac:dyDescent="0.25">
      <c r="A37" s="1191" t="s">
        <v>367</v>
      </c>
      <c r="B37" s="1192"/>
      <c r="C37" s="1192"/>
      <c r="D37" s="1199" t="s">
        <v>379</v>
      </c>
      <c r="E37" s="278" t="s">
        <v>372</v>
      </c>
      <c r="F37" s="1199" t="s">
        <v>383</v>
      </c>
      <c r="G37" s="1199" t="s">
        <v>370</v>
      </c>
      <c r="H37" s="1199" t="s">
        <v>383</v>
      </c>
      <c r="I37" s="278" t="s">
        <v>372</v>
      </c>
      <c r="J37" s="1199" t="s">
        <v>379</v>
      </c>
      <c r="K37" s="278" t="s">
        <v>369</v>
      </c>
      <c r="L37" s="1199" t="s">
        <v>379</v>
      </c>
      <c r="M37" s="1199" t="s">
        <v>370</v>
      </c>
      <c r="N37" s="1199" t="s">
        <v>370</v>
      </c>
      <c r="O37" s="1199" t="s">
        <v>379</v>
      </c>
      <c r="P37" s="1199" t="s">
        <v>380</v>
      </c>
      <c r="Q37" s="1199" t="s">
        <v>370</v>
      </c>
      <c r="R37" s="278" t="s">
        <v>369</v>
      </c>
      <c r="S37" s="1199" t="s">
        <v>383</v>
      </c>
      <c r="T37" s="1199" t="s">
        <v>370</v>
      </c>
      <c r="U37" s="1199" t="s">
        <v>370</v>
      </c>
      <c r="V37" s="278" t="s">
        <v>369</v>
      </c>
      <c r="W37" s="1199" t="s">
        <v>379</v>
      </c>
      <c r="X37" s="1199" t="s">
        <v>379</v>
      </c>
      <c r="Y37" s="1199" t="s">
        <v>379</v>
      </c>
      <c r="Z37" s="1199" t="s">
        <v>383</v>
      </c>
      <c r="AA37" s="278" t="s">
        <v>369</v>
      </c>
      <c r="AB37" s="1199" t="s">
        <v>383</v>
      </c>
      <c r="AC37" s="1199" t="s">
        <v>379</v>
      </c>
      <c r="AD37" s="1199" t="s">
        <v>383</v>
      </c>
      <c r="AE37" s="337" t="s">
        <v>387</v>
      </c>
      <c r="AF37" s="1199" t="s">
        <v>383</v>
      </c>
      <c r="AG37" s="1199" t="s">
        <v>379</v>
      </c>
      <c r="AH37" s="1199" t="s">
        <v>383</v>
      </c>
      <c r="AI37" s="1199" t="s">
        <v>379</v>
      </c>
    </row>
    <row r="38" spans="1:35" s="13" customFormat="1" ht="41.5" customHeight="1" x14ac:dyDescent="0.25">
      <c r="A38" s="1191" t="s">
        <v>384</v>
      </c>
      <c r="B38" s="1192"/>
      <c r="C38" s="1192"/>
      <c r="D38" s="1199" t="s">
        <v>374</v>
      </c>
      <c r="E38" s="278" t="s">
        <v>377</v>
      </c>
      <c r="F38" s="338" t="s">
        <v>376</v>
      </c>
      <c r="G38" s="1199" t="s">
        <v>378</v>
      </c>
      <c r="H38" s="338" t="s">
        <v>376</v>
      </c>
      <c r="I38" s="278" t="s">
        <v>377</v>
      </c>
      <c r="J38" s="1199" t="s">
        <v>374</v>
      </c>
      <c r="K38" s="1199" t="s">
        <v>385</v>
      </c>
      <c r="L38" s="1199" t="s">
        <v>374</v>
      </c>
      <c r="M38" s="1199" t="s">
        <v>378</v>
      </c>
      <c r="N38" s="1199" t="s">
        <v>378</v>
      </c>
      <c r="O38" s="1199" t="s">
        <v>386</v>
      </c>
      <c r="P38" s="1199" t="s">
        <v>381</v>
      </c>
      <c r="Q38" s="1199" t="s">
        <v>378</v>
      </c>
      <c r="R38" s="1199" t="s">
        <v>385</v>
      </c>
      <c r="S38" s="338" t="s">
        <v>376</v>
      </c>
      <c r="T38" s="1199" t="s">
        <v>378</v>
      </c>
      <c r="U38" s="1199" t="s">
        <v>378</v>
      </c>
      <c r="V38" s="1199" t="s">
        <v>381</v>
      </c>
      <c r="W38" s="1199" t="s">
        <v>374</v>
      </c>
      <c r="X38" s="1199" t="s">
        <v>374</v>
      </c>
      <c r="Y38" s="1199" t="s">
        <v>386</v>
      </c>
      <c r="Z38" s="338" t="s">
        <v>376</v>
      </c>
      <c r="AA38" s="1199" t="s">
        <v>385</v>
      </c>
      <c r="AB38" s="338" t="s">
        <v>376</v>
      </c>
      <c r="AC38" s="1199" t="s">
        <v>374</v>
      </c>
      <c r="AD38" s="338" t="s">
        <v>376</v>
      </c>
      <c r="AE38" s="338" t="s">
        <v>376</v>
      </c>
      <c r="AF38" s="338" t="s">
        <v>376</v>
      </c>
      <c r="AG38" s="1199" t="s">
        <v>374</v>
      </c>
      <c r="AH38" s="338" t="s">
        <v>376</v>
      </c>
      <c r="AI38" s="1199" t="s">
        <v>374</v>
      </c>
    </row>
    <row r="39" spans="1:35" s="13" customFormat="1" ht="16.5" customHeight="1" x14ac:dyDescent="0.25">
      <c r="A39" s="220" t="s">
        <v>6</v>
      </c>
      <c r="B39" s="945"/>
      <c r="C39" s="946"/>
      <c r="D39" s="1008"/>
      <c r="E39" s="1008"/>
      <c r="F39" s="1008"/>
      <c r="G39" s="1008"/>
      <c r="H39" s="1008"/>
      <c r="I39" s="1008"/>
      <c r="J39" s="1008"/>
      <c r="K39" s="1008"/>
      <c r="L39" s="1008"/>
      <c r="M39" s="1008"/>
      <c r="N39" s="1008"/>
      <c r="O39" s="1010"/>
      <c r="P39" s="1008"/>
      <c r="Q39" s="1008"/>
      <c r="R39" s="1008"/>
      <c r="S39" s="1008"/>
      <c r="T39" s="1008"/>
      <c r="U39" s="1009"/>
      <c r="V39" s="1008"/>
      <c r="W39" s="1008"/>
      <c r="X39" s="1008"/>
      <c r="Y39" s="1008"/>
      <c r="Z39" s="1008"/>
      <c r="AA39" s="1008"/>
      <c r="AB39" s="1008"/>
      <c r="AC39" s="1008"/>
      <c r="AD39" s="1008"/>
      <c r="AE39" s="1008"/>
      <c r="AF39" s="967"/>
      <c r="AG39" s="1052"/>
      <c r="AH39" s="1008"/>
      <c r="AI39" s="1053"/>
    </row>
    <row r="40" spans="1:35" s="13" customFormat="1" ht="16.5" customHeight="1" x14ac:dyDescent="0.25">
      <c r="A40" s="211" t="s">
        <v>19</v>
      </c>
      <c r="B40" s="947"/>
      <c r="C40" s="948"/>
      <c r="D40" s="353">
        <v>11</v>
      </c>
      <c r="E40" s="353">
        <v>14</v>
      </c>
      <c r="F40" s="353">
        <v>6</v>
      </c>
      <c r="G40" s="353">
        <v>14</v>
      </c>
      <c r="H40" s="353">
        <v>11</v>
      </c>
      <c r="I40" s="353">
        <v>6</v>
      </c>
      <c r="J40" s="353">
        <v>6</v>
      </c>
      <c r="K40" s="353">
        <v>6</v>
      </c>
      <c r="L40" s="353">
        <v>10</v>
      </c>
      <c r="M40" s="353">
        <v>12</v>
      </c>
      <c r="N40" s="353">
        <v>8</v>
      </c>
      <c r="O40" s="990">
        <v>6</v>
      </c>
      <c r="P40" s="353">
        <v>14</v>
      </c>
      <c r="Q40" s="353">
        <v>9</v>
      </c>
      <c r="R40" s="353">
        <v>14</v>
      </c>
      <c r="S40" s="353">
        <v>10</v>
      </c>
      <c r="T40" s="353">
        <v>27</v>
      </c>
      <c r="U40" s="583">
        <v>12</v>
      </c>
      <c r="V40" s="353">
        <v>14</v>
      </c>
      <c r="W40" s="353">
        <v>11</v>
      </c>
      <c r="X40" s="353">
        <v>9</v>
      </c>
      <c r="Y40" s="353">
        <v>12</v>
      </c>
      <c r="Z40" s="353">
        <v>14</v>
      </c>
      <c r="AA40" s="353">
        <v>9</v>
      </c>
      <c r="AB40" s="353">
        <v>11</v>
      </c>
      <c r="AC40" s="353">
        <v>12</v>
      </c>
      <c r="AD40" s="353">
        <v>12</v>
      </c>
      <c r="AE40" s="353">
        <v>11</v>
      </c>
      <c r="AF40" s="990">
        <v>29</v>
      </c>
      <c r="AG40" s="353">
        <v>10</v>
      </c>
      <c r="AH40" s="353">
        <v>9</v>
      </c>
      <c r="AI40" s="1046">
        <v>14</v>
      </c>
    </row>
    <row r="41" spans="1:35" s="13" customFormat="1" ht="16.5" customHeight="1" x14ac:dyDescent="0.25">
      <c r="A41" s="214" t="s">
        <v>20</v>
      </c>
      <c r="B41" s="949"/>
      <c r="C41" s="950"/>
      <c r="D41" s="354">
        <v>8</v>
      </c>
      <c r="E41" s="354">
        <v>13</v>
      </c>
      <c r="F41" s="354">
        <v>6</v>
      </c>
      <c r="G41" s="354">
        <v>13</v>
      </c>
      <c r="H41" s="354">
        <v>9</v>
      </c>
      <c r="I41" s="354">
        <v>6</v>
      </c>
      <c r="J41" s="354">
        <v>6</v>
      </c>
      <c r="K41" s="354">
        <v>6</v>
      </c>
      <c r="L41" s="354">
        <v>10</v>
      </c>
      <c r="M41" s="354">
        <v>11</v>
      </c>
      <c r="N41" s="354">
        <v>7</v>
      </c>
      <c r="O41" s="354">
        <v>6</v>
      </c>
      <c r="P41" s="354">
        <v>13</v>
      </c>
      <c r="Q41" s="354">
        <v>6</v>
      </c>
      <c r="R41" s="354">
        <v>13</v>
      </c>
      <c r="S41" s="354">
        <v>10</v>
      </c>
      <c r="T41" s="354">
        <v>25</v>
      </c>
      <c r="U41" s="1034">
        <v>11</v>
      </c>
      <c r="V41" s="354">
        <v>13</v>
      </c>
      <c r="W41" s="354">
        <v>8</v>
      </c>
      <c r="X41" s="354">
        <v>6</v>
      </c>
      <c r="Y41" s="354">
        <v>11</v>
      </c>
      <c r="Z41" s="354">
        <v>13</v>
      </c>
      <c r="AA41" s="385">
        <v>6</v>
      </c>
      <c r="AB41" s="354">
        <v>8</v>
      </c>
      <c r="AC41" s="354">
        <v>11</v>
      </c>
      <c r="AD41" s="354">
        <v>11</v>
      </c>
      <c r="AE41" s="354">
        <v>8</v>
      </c>
      <c r="AF41" s="354">
        <v>27</v>
      </c>
      <c r="AG41" s="354">
        <v>10</v>
      </c>
      <c r="AH41" s="354">
        <v>6</v>
      </c>
      <c r="AI41" s="1047">
        <v>13</v>
      </c>
    </row>
    <row r="42" spans="1:35" s="13" customFormat="1" ht="16.5" customHeight="1" thickBot="1" x14ac:dyDescent="0.3">
      <c r="A42" s="227" t="s">
        <v>21</v>
      </c>
      <c r="B42" s="951"/>
      <c r="C42" s="952"/>
      <c r="D42" s="927">
        <v>6</v>
      </c>
      <c r="E42" s="927">
        <v>12</v>
      </c>
      <c r="F42" s="355">
        <v>6</v>
      </c>
      <c r="G42" s="927">
        <v>12</v>
      </c>
      <c r="H42" s="927">
        <v>9</v>
      </c>
      <c r="I42" s="927">
        <v>6</v>
      </c>
      <c r="J42" s="927">
        <v>6</v>
      </c>
      <c r="K42" s="927">
        <v>6</v>
      </c>
      <c r="L42" s="927">
        <v>10</v>
      </c>
      <c r="M42" s="927">
        <v>9</v>
      </c>
      <c r="N42" s="927">
        <v>6</v>
      </c>
      <c r="O42" s="355">
        <v>6</v>
      </c>
      <c r="P42" s="927">
        <v>12</v>
      </c>
      <c r="Q42" s="927">
        <v>6</v>
      </c>
      <c r="R42" s="927">
        <v>12</v>
      </c>
      <c r="S42" s="927">
        <v>10</v>
      </c>
      <c r="T42" s="927">
        <v>24</v>
      </c>
      <c r="U42" s="1035">
        <v>10</v>
      </c>
      <c r="V42" s="927">
        <v>12</v>
      </c>
      <c r="W42" s="927">
        <v>6</v>
      </c>
      <c r="X42" s="927">
        <v>6</v>
      </c>
      <c r="Y42" s="927">
        <v>10</v>
      </c>
      <c r="Z42" s="927">
        <v>12</v>
      </c>
      <c r="AA42" s="355">
        <v>6</v>
      </c>
      <c r="AB42" s="927">
        <v>6</v>
      </c>
      <c r="AC42" s="927">
        <v>9</v>
      </c>
      <c r="AD42" s="927">
        <v>10</v>
      </c>
      <c r="AE42" s="927">
        <v>6</v>
      </c>
      <c r="AF42" s="927">
        <v>26</v>
      </c>
      <c r="AG42" s="927">
        <v>10</v>
      </c>
      <c r="AH42" s="927">
        <v>6</v>
      </c>
      <c r="AI42" s="1048">
        <v>12</v>
      </c>
    </row>
    <row r="43" spans="1:35" x14ac:dyDescent="0.25">
      <c r="F43" s="154"/>
      <c r="O43" s="604"/>
      <c r="AA43" s="154"/>
    </row>
  </sheetData>
  <sortState xmlns:xlrd2="http://schemas.microsoft.com/office/spreadsheetml/2017/richdata2" columnSort="1" ref="E16:AI21">
    <sortCondition ref="E16:AI16"/>
  </sortState>
  <phoneticPr fontId="6" type="noConversion"/>
  <conditionalFormatting sqref="AA24">
    <cfRule type="cellIs" dxfId="1" priority="1" stopIfTrue="1" operator="greaterThan">
      <formula>"7.5+1.35"</formula>
    </cfRule>
    <cfRule type="aboveAverage" priority="2" stopIfTrue="1"/>
    <cfRule type="cellIs" dxfId="0" priority="3" stopIfTrue="1" operator="greaterThan">
      <formula>"7.5+$Z$37"</formula>
    </cfRule>
  </conditionalFormatting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53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U43"/>
  <sheetViews>
    <sheetView zoomScale="115" zoomScaleNormal="115" workbookViewId="0">
      <pane xSplit="10" ySplit="9" topLeftCell="K36" activePane="bottomRight" state="frozen"/>
      <selection pane="topRight" activeCell="K1" sqref="K1"/>
      <selection pane="bottomLeft" activeCell="A10" sqref="A10"/>
      <selection pane="bottomRight" activeCell="O37" sqref="O37"/>
    </sheetView>
  </sheetViews>
  <sheetFormatPr defaultColWidth="9.08984375" defaultRowHeight="12.5" x14ac:dyDescent="0.25"/>
  <cols>
    <col min="1" max="1" width="44.7265625" customWidth="1"/>
    <col min="2" max="2" width="9.7265625" style="43" customWidth="1"/>
    <col min="3" max="3" width="9.6328125" style="43" customWidth="1"/>
    <col min="4" max="4" width="8.6328125" style="43" hidden="1" customWidth="1"/>
    <col min="5" max="5" width="8.26953125" style="43" bestFit="1" customWidth="1"/>
    <col min="6" max="6" width="8.36328125" style="43" customWidth="1"/>
    <col min="7" max="7" width="8.6328125" style="1170" customWidth="1"/>
    <col min="8" max="8" width="7.81640625" style="43" customWidth="1"/>
    <col min="9" max="9" width="7.81640625" style="605" customWidth="1"/>
    <col min="10" max="10" width="8.6328125" style="605" customWidth="1"/>
    <col min="11" max="14" width="7.81640625" style="43" customWidth="1"/>
    <col min="15" max="15" width="8.6328125" style="605" customWidth="1"/>
    <col min="16" max="16" width="7.81640625" style="43" customWidth="1"/>
    <col min="17" max="17" width="7.81640625" style="605" customWidth="1"/>
    <col min="18" max="18" width="6.26953125" customWidth="1"/>
  </cols>
  <sheetData>
    <row r="1" spans="1:21" ht="17.25" customHeight="1" thickBot="1" x14ac:dyDescent="0.35">
      <c r="A1" s="19" t="s">
        <v>350</v>
      </c>
      <c r="B1" s="45"/>
      <c r="C1" s="45"/>
      <c r="D1" s="45"/>
      <c r="E1" s="3"/>
      <c r="F1" s="3"/>
      <c r="G1" s="1148"/>
      <c r="H1" s="2"/>
      <c r="I1" s="610"/>
      <c r="J1" s="30"/>
      <c r="K1" s="3"/>
      <c r="L1" s="2"/>
      <c r="M1" s="2"/>
      <c r="N1" s="3"/>
      <c r="O1" s="30"/>
      <c r="P1" s="3"/>
      <c r="Q1" s="612"/>
    </row>
    <row r="2" spans="1:21" ht="88" customHeight="1" x14ac:dyDescent="0.25">
      <c r="A2" s="315"/>
      <c r="B2" s="27" t="s">
        <v>90</v>
      </c>
      <c r="C2" s="27" t="s">
        <v>351</v>
      </c>
      <c r="D2" s="596" t="s">
        <v>227</v>
      </c>
      <c r="E2" s="316" t="s">
        <v>123</v>
      </c>
      <c r="F2" s="316" t="s">
        <v>124</v>
      </c>
      <c r="G2" s="1149" t="s">
        <v>195</v>
      </c>
      <c r="H2" s="316" t="s">
        <v>126</v>
      </c>
      <c r="I2" s="316" t="s">
        <v>125</v>
      </c>
      <c r="J2" s="318" t="s">
        <v>196</v>
      </c>
      <c r="K2" s="318" t="s">
        <v>136</v>
      </c>
      <c r="L2" s="317" t="s">
        <v>127</v>
      </c>
      <c r="M2" s="316" t="s">
        <v>128</v>
      </c>
      <c r="N2" s="318" t="s">
        <v>129</v>
      </c>
      <c r="O2" s="318" t="s">
        <v>228</v>
      </c>
      <c r="P2" s="318" t="s">
        <v>130</v>
      </c>
      <c r="Q2" s="314" t="s">
        <v>131</v>
      </c>
    </row>
    <row r="3" spans="1:21" ht="30.75" customHeight="1" x14ac:dyDescent="0.25">
      <c r="A3" s="20" t="s">
        <v>269</v>
      </c>
      <c r="B3" s="1073"/>
      <c r="C3" s="1073"/>
      <c r="D3" s="597" t="s">
        <v>169</v>
      </c>
      <c r="E3" s="278" t="s">
        <v>1</v>
      </c>
      <c r="F3" s="278" t="s">
        <v>4</v>
      </c>
      <c r="G3" s="1190" t="s">
        <v>3</v>
      </c>
      <c r="H3" s="278" t="s">
        <v>4</v>
      </c>
      <c r="I3" s="278" t="s">
        <v>2</v>
      </c>
      <c r="J3" s="278" t="s">
        <v>2</v>
      </c>
      <c r="K3" s="278" t="s">
        <v>2</v>
      </c>
      <c r="L3" s="278" t="s">
        <v>1</v>
      </c>
      <c r="M3" s="278" t="s">
        <v>1</v>
      </c>
      <c r="N3" s="278" t="s">
        <v>1</v>
      </c>
      <c r="O3" s="278" t="s">
        <v>3</v>
      </c>
      <c r="P3" s="278" t="s">
        <v>2</v>
      </c>
      <c r="Q3" s="455" t="s">
        <v>2</v>
      </c>
    </row>
    <row r="4" spans="1:21" s="13" customFormat="1" ht="16.5" customHeight="1" x14ac:dyDescent="0.25">
      <c r="A4" s="230" t="s">
        <v>7</v>
      </c>
      <c r="B4" s="1074"/>
      <c r="C4" s="1074"/>
      <c r="D4" s="320">
        <v>45075</v>
      </c>
      <c r="E4" s="1184">
        <v>151.666</v>
      </c>
      <c r="F4" s="1184">
        <v>153.01600000000002</v>
      </c>
      <c r="G4" s="1184">
        <v>153.02699999999999</v>
      </c>
      <c r="H4" s="1184">
        <v>153.27800000000002</v>
      </c>
      <c r="I4" s="1184">
        <v>153.33100000000002</v>
      </c>
      <c r="J4" s="1184">
        <v>153.404</v>
      </c>
      <c r="K4" s="1184">
        <v>153.74099999999999</v>
      </c>
      <c r="L4" s="1184">
        <v>155.13400000000001</v>
      </c>
      <c r="M4" s="1184">
        <v>155.36799999999999</v>
      </c>
      <c r="N4" s="1184">
        <v>155.98699999999999</v>
      </c>
      <c r="O4" s="1184">
        <v>156.346</v>
      </c>
      <c r="P4" s="1184">
        <v>157.40800000000002</v>
      </c>
      <c r="Q4" s="1184">
        <v>160.57599999999999</v>
      </c>
    </row>
    <row r="5" spans="1:21" s="13" customFormat="1" ht="16.5" customHeight="1" x14ac:dyDescent="0.25">
      <c r="A5" s="108" t="s">
        <v>9</v>
      </c>
      <c r="B5" s="796"/>
      <c r="C5" s="796"/>
      <c r="D5" s="183"/>
      <c r="E5" s="967"/>
      <c r="F5" s="967"/>
      <c r="G5" s="1150"/>
      <c r="H5" s="967"/>
      <c r="I5" s="967"/>
      <c r="J5" s="967"/>
      <c r="K5" s="967"/>
      <c r="L5" s="967"/>
      <c r="M5" s="967"/>
      <c r="N5" s="967"/>
      <c r="O5" s="967"/>
      <c r="P5" s="967"/>
      <c r="Q5" s="997"/>
    </row>
    <row r="6" spans="1:21" s="13" customFormat="1" ht="16.5" customHeight="1" x14ac:dyDescent="0.25">
      <c r="A6" s="284" t="s">
        <v>241</v>
      </c>
      <c r="B6" s="510">
        <v>100</v>
      </c>
      <c r="C6" s="511">
        <v>104.37033881269105</v>
      </c>
      <c r="D6" s="585">
        <v>98.728298533104564</v>
      </c>
      <c r="E6" s="505">
        <v>104.24690787273605</v>
      </c>
      <c r="F6" s="1058">
        <v>99.782924741521796</v>
      </c>
      <c r="G6" s="1151">
        <v>101.20603458506649</v>
      </c>
      <c r="H6" s="1058">
        <v>103.68060440562626</v>
      </c>
      <c r="I6" s="1058">
        <v>101.55010260054567</v>
      </c>
      <c r="J6" s="1058">
        <v>102.115063952908</v>
      </c>
      <c r="K6" s="1058">
        <v>103.42344106717502</v>
      </c>
      <c r="L6" s="1058">
        <v>99.847856143983833</v>
      </c>
      <c r="M6" s="1058">
        <v>106.81985257915528</v>
      </c>
      <c r="N6" s="1058">
        <v>102.73399039324659</v>
      </c>
      <c r="O6" s="1058">
        <v>105.15233203966329</v>
      </c>
      <c r="P6" s="1058">
        <v>102.21355568423553</v>
      </c>
      <c r="Q6" s="1059">
        <v>98.680157019748506</v>
      </c>
      <c r="S6" s="181"/>
      <c r="U6" s="181"/>
    </row>
    <row r="7" spans="1:21" s="13" customFormat="1" ht="16.5" customHeight="1" x14ac:dyDescent="0.25">
      <c r="A7" s="513" t="s">
        <v>265</v>
      </c>
      <c r="B7" s="514">
        <f>65+11.74125523</f>
        <v>76.741255230000007</v>
      </c>
      <c r="C7" s="515">
        <f>65+12.1070093531514</f>
        <v>77.107009353151398</v>
      </c>
      <c r="D7" s="516">
        <v>12.733522449889023</v>
      </c>
      <c r="E7" s="321">
        <f>65+11.9955238342398</f>
        <v>76.995523834239805</v>
      </c>
      <c r="F7" s="1060">
        <f>65+10.3257142347165</f>
        <v>75.3257142347165</v>
      </c>
      <c r="G7" s="1152">
        <f>65+12.9767822457896</f>
        <v>77.976782245789593</v>
      </c>
      <c r="H7" s="1060">
        <f>65+11.3666299752077</f>
        <v>76.366629975207701</v>
      </c>
      <c r="I7" s="1060">
        <f>65+11.6895883069874</f>
        <v>76.689588306987403</v>
      </c>
      <c r="J7" s="1060">
        <f>65+11.7138687078144</f>
        <v>76.713868707814399</v>
      </c>
      <c r="K7" s="1060">
        <f>65+11.118101005145</f>
        <v>76.118101005145007</v>
      </c>
      <c r="L7" s="1060">
        <f>65+11.8411929358436</f>
        <v>76.841192935843594</v>
      </c>
      <c r="M7" s="1060">
        <f>65+12.9072761560881</f>
        <v>77.907276156088102</v>
      </c>
      <c r="N7" s="1060">
        <f>65+12.1586074470699</f>
        <v>77.158607447069897</v>
      </c>
      <c r="O7" s="1060">
        <f>65+13.4055353744811</f>
        <v>78.405535374481104</v>
      </c>
      <c r="P7" s="1060">
        <f>65+12.3686199786008</f>
        <v>77.368619978600805</v>
      </c>
      <c r="Q7" s="1061">
        <f>65+11.2603234939614</f>
        <v>76.260323493961394</v>
      </c>
      <c r="S7" s="181"/>
      <c r="U7" s="181"/>
    </row>
    <row r="8" spans="1:21" s="13" customFormat="1" ht="16.5" customHeight="1" x14ac:dyDescent="0.25">
      <c r="A8" s="287" t="s">
        <v>345</v>
      </c>
      <c r="B8" s="517">
        <v>100</v>
      </c>
      <c r="C8" s="517">
        <v>104.82255897637562</v>
      </c>
      <c r="D8" s="586">
        <v>99.94748998572598</v>
      </c>
      <c r="E8" s="322">
        <v>104.61451674767542</v>
      </c>
      <c r="F8" s="1062">
        <v>97.753167323420655</v>
      </c>
      <c r="G8" s="1153">
        <v>102.25135042679204</v>
      </c>
      <c r="H8" s="1062">
        <v>102.90084446290805</v>
      </c>
      <c r="I8" s="1062">
        <v>101.68521618697169</v>
      </c>
      <c r="J8" s="1062">
        <v>101.88346844558868</v>
      </c>
      <c r="K8" s="1062">
        <v>102.67105722959111</v>
      </c>
      <c r="L8" s="1062">
        <v>99.86756301630642</v>
      </c>
      <c r="M8" s="1062">
        <v>108.53717954187034</v>
      </c>
      <c r="N8" s="1062">
        <v>103.2376951530487</v>
      </c>
      <c r="O8" s="1062">
        <v>107.1210540671274</v>
      </c>
      <c r="P8" s="1062">
        <v>102.9929212779422</v>
      </c>
      <c r="Q8" s="1063">
        <v>98.201819408898601</v>
      </c>
      <c r="S8" s="181"/>
      <c r="U8" s="181"/>
    </row>
    <row r="9" spans="1:21" s="13" customFormat="1" ht="16.5" customHeight="1" x14ac:dyDescent="0.25">
      <c r="A9" s="286" t="s">
        <v>323</v>
      </c>
      <c r="B9" s="519">
        <v>69.328283760000005</v>
      </c>
      <c r="C9" s="520">
        <v>65.203513955364571</v>
      </c>
      <c r="D9" s="587">
        <v>61.676470632091693</v>
      </c>
      <c r="E9" s="506">
        <v>64.756396232390657</v>
      </c>
      <c r="F9" s="1064">
        <v>65.757768096706954</v>
      </c>
      <c r="G9" s="1154">
        <v>56.57628171186979</v>
      </c>
      <c r="H9" s="1064">
        <v>62.755709340653574</v>
      </c>
      <c r="I9" s="1064">
        <v>68.173924981138327</v>
      </c>
      <c r="J9" s="1064">
        <v>63.860422564952906</v>
      </c>
      <c r="K9" s="1064">
        <v>65.331699255645162</v>
      </c>
      <c r="L9" s="1064">
        <v>66.939402153988368</v>
      </c>
      <c r="M9" s="1064">
        <v>65.735353672447332</v>
      </c>
      <c r="N9" s="1064">
        <v>67.566596575966713</v>
      </c>
      <c r="O9" s="1064">
        <v>63.746589231619566</v>
      </c>
      <c r="P9" s="1064">
        <v>67.994827255933814</v>
      </c>
      <c r="Q9" s="1065">
        <v>66.614848158346945</v>
      </c>
      <c r="S9" s="181"/>
      <c r="U9" s="181"/>
    </row>
    <row r="10" spans="1:21" s="13" customFormat="1" ht="16.5" customHeight="1" x14ac:dyDescent="0.25">
      <c r="A10" s="108" t="s">
        <v>10</v>
      </c>
      <c r="B10" s="973"/>
      <c r="C10" s="796"/>
      <c r="D10" s="974"/>
      <c r="E10" s="967"/>
      <c r="F10" s="967"/>
      <c r="G10" s="1150"/>
      <c r="H10" s="967"/>
      <c r="I10" s="967"/>
      <c r="J10" s="967"/>
      <c r="K10" s="967"/>
      <c r="L10" s="967"/>
      <c r="M10" s="967"/>
      <c r="N10" s="967"/>
      <c r="O10" s="967"/>
      <c r="P10" s="967"/>
      <c r="Q10" s="997"/>
      <c r="S10" s="181"/>
      <c r="U10" s="181"/>
    </row>
    <row r="11" spans="1:21" s="13" customFormat="1" ht="16.5" customHeight="1" x14ac:dyDescent="0.25">
      <c r="A11" s="285" t="s">
        <v>242</v>
      </c>
      <c r="B11" s="522">
        <v>100</v>
      </c>
      <c r="C11" s="523">
        <v>103.64701349608677</v>
      </c>
      <c r="D11" s="524">
        <v>101.5451103679983</v>
      </c>
      <c r="E11" s="283">
        <v>105.23910875665531</v>
      </c>
      <c r="F11" s="1066">
        <v>100.60973661645126</v>
      </c>
      <c r="G11" s="1155">
        <v>101.5776404742364</v>
      </c>
      <c r="H11" s="1066">
        <v>100.66335926746507</v>
      </c>
      <c r="I11" s="1066">
        <v>99.509413116007011</v>
      </c>
      <c r="J11" s="1066">
        <v>107.37018414380329</v>
      </c>
      <c r="K11" s="1066">
        <v>101.59286775466903</v>
      </c>
      <c r="L11" s="1066">
        <v>98.870223254103905</v>
      </c>
      <c r="M11" s="1066">
        <v>105.04072237080312</v>
      </c>
      <c r="N11" s="1066">
        <v>103.64486358942355</v>
      </c>
      <c r="O11" s="1066">
        <v>98.618854335897467</v>
      </c>
      <c r="P11" s="1066">
        <v>96.571956136458141</v>
      </c>
      <c r="Q11" s="1067">
        <v>96.433312798870944</v>
      </c>
      <c r="S11" s="181"/>
      <c r="U11" s="181"/>
    </row>
    <row r="12" spans="1:21" s="13" customFormat="1" ht="27.75" customHeight="1" x14ac:dyDescent="0.25">
      <c r="A12" s="304" t="s">
        <v>336</v>
      </c>
      <c r="B12" s="525">
        <v>100</v>
      </c>
      <c r="C12" s="517">
        <v>107.87605926699496</v>
      </c>
      <c r="D12" s="518">
        <v>107.72122005576072</v>
      </c>
      <c r="E12" s="322">
        <v>108.80910421524879</v>
      </c>
      <c r="F12" s="1062">
        <v>104.77592954404675</v>
      </c>
      <c r="G12" s="1153">
        <v>106.45066890520447</v>
      </c>
      <c r="H12" s="1062">
        <v>104.3424703078218</v>
      </c>
      <c r="I12" s="1062">
        <v>103.29491259760123</v>
      </c>
      <c r="J12" s="1062">
        <v>112.53308948901622</v>
      </c>
      <c r="K12" s="1062">
        <v>103.71862408078893</v>
      </c>
      <c r="L12" s="1062">
        <v>103.78407749470263</v>
      </c>
      <c r="M12" s="1062">
        <v>109.64530729899478</v>
      </c>
      <c r="N12" s="1062">
        <v>108.7073552459144</v>
      </c>
      <c r="O12" s="1062">
        <v>102.01609341524083</v>
      </c>
      <c r="P12" s="1062">
        <v>98.558839469112542</v>
      </c>
      <c r="Q12" s="1063">
        <v>98.497655355125033</v>
      </c>
      <c r="S12" s="181"/>
      <c r="U12" s="181"/>
    </row>
    <row r="13" spans="1:21" s="13" customFormat="1" ht="16.5" customHeight="1" x14ac:dyDescent="0.25">
      <c r="A13" s="285" t="s">
        <v>243</v>
      </c>
      <c r="B13" s="522">
        <v>100</v>
      </c>
      <c r="C13" s="523">
        <v>104.8762411519368</v>
      </c>
      <c r="D13" s="588">
        <v>99.835553726038839</v>
      </c>
      <c r="E13" s="283">
        <v>106.49596469072404</v>
      </c>
      <c r="F13" s="1066">
        <v>102.27161778993913</v>
      </c>
      <c r="G13" s="1155">
        <v>99.845122662280005</v>
      </c>
      <c r="H13" s="1066">
        <v>103.67282525245439</v>
      </c>
      <c r="I13" s="1066">
        <v>100.44667123276894</v>
      </c>
      <c r="J13" s="1066">
        <v>109.46051994788664</v>
      </c>
      <c r="K13" s="1066">
        <v>101.97070752122266</v>
      </c>
      <c r="L13" s="1066">
        <v>100.95399187330517</v>
      </c>
      <c r="M13" s="1066">
        <v>107.58830334091043</v>
      </c>
      <c r="N13" s="1066">
        <v>101.74787132365827</v>
      </c>
      <c r="O13" s="1066">
        <v>103.58156879743106</v>
      </c>
      <c r="P13" s="1066">
        <v>98.86990063023643</v>
      </c>
      <c r="Q13" s="1067">
        <v>98.722270789809997</v>
      </c>
      <c r="S13" s="181"/>
      <c r="U13" s="181"/>
    </row>
    <row r="14" spans="1:21" s="13" customFormat="1" ht="16.5" customHeight="1" x14ac:dyDescent="0.25">
      <c r="A14" s="306" t="s">
        <v>244</v>
      </c>
      <c r="B14" s="526">
        <v>100</v>
      </c>
      <c r="C14" s="323">
        <v>104.15591852129114</v>
      </c>
      <c r="D14" s="527">
        <v>100.69033204701857</v>
      </c>
      <c r="E14" s="506">
        <v>105.81040690850473</v>
      </c>
      <c r="F14" s="1064">
        <v>101.37143215429985</v>
      </c>
      <c r="G14" s="1154">
        <v>100.7113815682582</v>
      </c>
      <c r="H14" s="1064">
        <v>101.92539339020252</v>
      </c>
      <c r="I14" s="1064">
        <v>99.941993785281738</v>
      </c>
      <c r="J14" s="1064">
        <v>108.41535204584495</v>
      </c>
      <c r="K14" s="1064">
        <v>101.75479908319201</v>
      </c>
      <c r="L14" s="1064">
        <v>99.912107563704538</v>
      </c>
      <c r="M14" s="1064">
        <v>106.11854508892544</v>
      </c>
      <c r="N14" s="1064">
        <v>102.76932869753189</v>
      </c>
      <c r="O14" s="1064">
        <v>101.10021156666426</v>
      </c>
      <c r="P14" s="1064">
        <v>97.632545902817355</v>
      </c>
      <c r="Q14" s="1065">
        <v>97.489754948535108</v>
      </c>
      <c r="S14" s="181"/>
      <c r="U14" s="181"/>
    </row>
    <row r="15" spans="1:21" s="13" customFormat="1" ht="16.5" customHeight="1" x14ac:dyDescent="0.25">
      <c r="A15" s="286" t="s">
        <v>324</v>
      </c>
      <c r="B15" s="522">
        <v>65.824922619999995</v>
      </c>
      <c r="C15" s="523">
        <v>60.757055824403182</v>
      </c>
      <c r="D15" s="524">
        <v>61.556430092371237</v>
      </c>
      <c r="E15" s="1077">
        <v>59.821977436723756</v>
      </c>
      <c r="F15" s="1078">
        <v>62.42819029045198</v>
      </c>
      <c r="G15" s="1154">
        <v>51.650728753052462</v>
      </c>
      <c r="H15" s="1078">
        <v>57.88642828459745</v>
      </c>
      <c r="I15" s="1078">
        <v>62.623919680753104</v>
      </c>
      <c r="J15" s="1064">
        <v>58.662580338669237</v>
      </c>
      <c r="K15" s="1078">
        <v>60.129298580046424</v>
      </c>
      <c r="L15" s="1078">
        <v>62.65044792269827</v>
      </c>
      <c r="M15" s="1078">
        <v>62.630252691739486</v>
      </c>
      <c r="N15" s="1078">
        <v>62.689564884552013</v>
      </c>
      <c r="O15" s="1064">
        <v>57.121747005335884</v>
      </c>
      <c r="P15" s="1078">
        <v>65.243418242824362</v>
      </c>
      <c r="Q15" s="1079">
        <v>63.085003014086425</v>
      </c>
      <c r="S15" s="181"/>
      <c r="U15" s="181"/>
    </row>
    <row r="16" spans="1:21" s="13" customFormat="1" ht="16.5" customHeight="1" x14ac:dyDescent="0.25">
      <c r="A16" s="192" t="s">
        <v>8</v>
      </c>
      <c r="B16" s="1075"/>
      <c r="C16" s="1076"/>
      <c r="D16" s="798"/>
      <c r="E16" s="967"/>
      <c r="F16" s="967"/>
      <c r="G16" s="1150"/>
      <c r="H16" s="967"/>
      <c r="I16" s="967"/>
      <c r="J16" s="967"/>
      <c r="K16" s="967"/>
      <c r="L16" s="967"/>
      <c r="M16" s="967"/>
      <c r="N16" s="967"/>
      <c r="O16" s="967"/>
      <c r="P16" s="967"/>
      <c r="Q16" s="997"/>
      <c r="S16" s="181"/>
      <c r="U16" s="181"/>
    </row>
    <row r="17" spans="1:21" s="13" customFormat="1" ht="16.5" customHeight="1" x14ac:dyDescent="0.25">
      <c r="A17" s="284" t="s">
        <v>245</v>
      </c>
      <c r="B17" s="510">
        <v>100</v>
      </c>
      <c r="C17" s="511">
        <v>101.83921777904426</v>
      </c>
      <c r="D17" s="585">
        <v>91.661690120930317</v>
      </c>
      <c r="E17" s="505">
        <v>102.48333654896901</v>
      </c>
      <c r="F17" s="1058">
        <v>91.279110880330265</v>
      </c>
      <c r="G17" s="1156">
        <v>111.20515394877792</v>
      </c>
      <c r="H17" s="1058">
        <v>99.018391079161376</v>
      </c>
      <c r="I17" s="1058">
        <v>82.835416178043317</v>
      </c>
      <c r="J17" s="1068">
        <v>89.124579071665138</v>
      </c>
      <c r="K17" s="1058">
        <v>91.775071921086749</v>
      </c>
      <c r="L17" s="1058">
        <v>90.83503636822752</v>
      </c>
      <c r="M17" s="1058">
        <v>106.16173183677211</v>
      </c>
      <c r="N17" s="1058">
        <v>99.693411651274474</v>
      </c>
      <c r="O17" s="1068">
        <v>94.585366994105854</v>
      </c>
      <c r="P17" s="1058">
        <v>82.704701005611184</v>
      </c>
      <c r="Q17" s="1059">
        <v>81.578800089929885</v>
      </c>
      <c r="S17" s="181"/>
      <c r="U17" s="181"/>
    </row>
    <row r="18" spans="1:21" s="13" customFormat="1" ht="16.5" customHeight="1" x14ac:dyDescent="0.25">
      <c r="A18" s="285" t="s">
        <v>246</v>
      </c>
      <c r="B18" s="522">
        <v>100</v>
      </c>
      <c r="C18" s="523">
        <v>101.99177263279317</v>
      </c>
      <c r="D18" s="588">
        <v>96.46742795454918</v>
      </c>
      <c r="E18" s="283">
        <v>103.54165028426911</v>
      </c>
      <c r="F18" s="1066">
        <v>97.266874485862459</v>
      </c>
      <c r="G18" s="1155">
        <v>109.89121577467083</v>
      </c>
      <c r="H18" s="1066">
        <v>99.48063624285767</v>
      </c>
      <c r="I18" s="1066">
        <v>89.460226195423601</v>
      </c>
      <c r="J18" s="1066">
        <v>99.35934078032291</v>
      </c>
      <c r="K18" s="1066">
        <v>96.868539812951539</v>
      </c>
      <c r="L18" s="1066">
        <v>93.750092517161491</v>
      </c>
      <c r="M18" s="1066">
        <v>105.60697879468701</v>
      </c>
      <c r="N18" s="1066">
        <v>99.337825209358883</v>
      </c>
      <c r="O18" s="1066">
        <v>97.353774603151692</v>
      </c>
      <c r="P18" s="1066">
        <v>88.587781333908481</v>
      </c>
      <c r="Q18" s="1067">
        <v>86.124763032025697</v>
      </c>
      <c r="S18" s="181"/>
      <c r="U18" s="181"/>
    </row>
    <row r="19" spans="1:21" s="13" customFormat="1" ht="16.5" customHeight="1" x14ac:dyDescent="0.25">
      <c r="A19" s="285" t="s">
        <v>337</v>
      </c>
      <c r="B19" s="522">
        <v>100</v>
      </c>
      <c r="C19" s="523">
        <v>107.8713646275323</v>
      </c>
      <c r="D19" s="588">
        <v>99.737557896376899</v>
      </c>
      <c r="E19" s="283">
        <v>106.23851150299271</v>
      </c>
      <c r="F19" s="1066">
        <v>106.15381245605553</v>
      </c>
      <c r="G19" s="1155">
        <v>100.08437497078501</v>
      </c>
      <c r="H19" s="1066">
        <v>108.47379822845905</v>
      </c>
      <c r="I19" s="1066">
        <v>112.43113676394165</v>
      </c>
      <c r="J19" s="1066">
        <v>105.68242360055727</v>
      </c>
      <c r="K19" s="1066">
        <v>106.41609200952995</v>
      </c>
      <c r="L19" s="1066">
        <v>107.14267460217347</v>
      </c>
      <c r="M19" s="1066">
        <v>108.37211244748026</v>
      </c>
      <c r="N19" s="1066">
        <v>108.4010363311972</v>
      </c>
      <c r="O19" s="1066">
        <v>110.76416426940423</v>
      </c>
      <c r="P19" s="1066">
        <v>110.63146009258608</v>
      </c>
      <c r="Q19" s="1067">
        <v>109.6401123371862</v>
      </c>
      <c r="S19" s="181"/>
      <c r="U19" s="181"/>
    </row>
    <row r="20" spans="1:21" s="13" customFormat="1" ht="16.5" customHeight="1" x14ac:dyDescent="0.25">
      <c r="A20" s="285" t="s">
        <v>338</v>
      </c>
      <c r="B20" s="522">
        <v>100</v>
      </c>
      <c r="C20" s="523">
        <v>104.25823754456408</v>
      </c>
      <c r="D20" s="524">
        <v>100.26272438206971</v>
      </c>
      <c r="E20" s="283">
        <v>103.87181470138719</v>
      </c>
      <c r="F20" s="1066">
        <v>99.990826839043962</v>
      </c>
      <c r="G20" s="1155">
        <v>94.128196088625984</v>
      </c>
      <c r="H20" s="1066">
        <v>103.15811124387683</v>
      </c>
      <c r="I20" s="1066">
        <v>101.35747635107974</v>
      </c>
      <c r="J20" s="1066">
        <v>100.5957110669252</v>
      </c>
      <c r="K20" s="1066">
        <v>106.82838505459399</v>
      </c>
      <c r="L20" s="1066">
        <v>96.934611024696309</v>
      </c>
      <c r="M20" s="1066">
        <v>106.06578957889174</v>
      </c>
      <c r="N20" s="1066">
        <v>103.93723465410058</v>
      </c>
      <c r="O20" s="1066">
        <v>105.0745102110928</v>
      </c>
      <c r="P20" s="1066">
        <v>106.75414746170999</v>
      </c>
      <c r="Q20" s="1067">
        <v>97.468452575570211</v>
      </c>
      <c r="S20" s="181"/>
      <c r="U20" s="181"/>
    </row>
    <row r="21" spans="1:21" s="13" customFormat="1" ht="16.5" customHeight="1" x14ac:dyDescent="0.25">
      <c r="A21" s="285" t="s">
        <v>247</v>
      </c>
      <c r="B21" s="526">
        <v>100</v>
      </c>
      <c r="C21" s="520">
        <v>100.89582134807678</v>
      </c>
      <c r="D21" s="521">
        <v>98.340306440590652</v>
      </c>
      <c r="E21" s="506">
        <v>102.19050801833984</v>
      </c>
      <c r="F21" s="1064">
        <v>89.222135924462194</v>
      </c>
      <c r="G21" s="1154">
        <v>98.500429715885076</v>
      </c>
      <c r="H21" s="1064">
        <v>100.98310986363438</v>
      </c>
      <c r="I21" s="1064">
        <v>98.152503215034855</v>
      </c>
      <c r="J21" s="1064">
        <v>101.36226732308494</v>
      </c>
      <c r="K21" s="1064">
        <v>102.92690733454582</v>
      </c>
      <c r="L21" s="1064">
        <v>98.648588105374373</v>
      </c>
      <c r="M21" s="1064">
        <v>106.6263630149589</v>
      </c>
      <c r="N21" s="1064">
        <v>93.783304495374054</v>
      </c>
      <c r="O21" s="1064">
        <v>106.21150611759816</v>
      </c>
      <c r="P21" s="1064">
        <v>99.832922958449188</v>
      </c>
      <c r="Q21" s="1065">
        <v>97.698151339160958</v>
      </c>
      <c r="S21" s="181"/>
      <c r="U21" s="181"/>
    </row>
    <row r="22" spans="1:21" s="13" customFormat="1" ht="16.5" customHeight="1" x14ac:dyDescent="0.25">
      <c r="A22" s="199" t="s">
        <v>327</v>
      </c>
      <c r="B22" s="1080"/>
      <c r="C22" s="1081"/>
      <c r="D22" s="1082"/>
      <c r="E22" s="967"/>
      <c r="F22" s="967"/>
      <c r="G22" s="1150"/>
      <c r="H22" s="967"/>
      <c r="I22" s="967"/>
      <c r="J22" s="967"/>
      <c r="K22" s="967"/>
      <c r="L22" s="967"/>
      <c r="M22" s="967"/>
      <c r="N22" s="967"/>
      <c r="O22" s="967"/>
      <c r="P22" s="967"/>
      <c r="Q22" s="997"/>
      <c r="S22" s="181"/>
      <c r="U22" s="181"/>
    </row>
    <row r="23" spans="1:21" s="13" customFormat="1" ht="16.5" customHeight="1" x14ac:dyDescent="0.25">
      <c r="A23" s="284" t="s">
        <v>248</v>
      </c>
      <c r="B23" s="510">
        <v>100</v>
      </c>
      <c r="C23" s="511">
        <v>111.95062970129047</v>
      </c>
      <c r="D23" s="512">
        <v>114.59136839854112</v>
      </c>
      <c r="E23" s="505">
        <v>115.92331891300999</v>
      </c>
      <c r="F23" s="1058">
        <v>113.11053867605136</v>
      </c>
      <c r="G23" s="1151">
        <v>108.37266035540279</v>
      </c>
      <c r="H23" s="1058">
        <v>108.38018818743768</v>
      </c>
      <c r="I23" s="1058">
        <v>104.29952867483419</v>
      </c>
      <c r="J23" s="1058">
        <v>121.94469015862491</v>
      </c>
      <c r="K23" s="1058">
        <v>107.64098976945442</v>
      </c>
      <c r="L23" s="1058">
        <v>107.18086115413298</v>
      </c>
      <c r="M23" s="1058">
        <v>113.60109587749669</v>
      </c>
      <c r="N23" s="1058">
        <v>109.89791021745638</v>
      </c>
      <c r="O23" s="1058">
        <v>104.44438450068611</v>
      </c>
      <c r="P23" s="1058">
        <v>95.296563954402728</v>
      </c>
      <c r="Q23" s="1059">
        <v>98.830176717014751</v>
      </c>
      <c r="S23" s="181"/>
      <c r="U23" s="181"/>
    </row>
    <row r="24" spans="1:21" s="13" customFormat="1" ht="16.5" customHeight="1" x14ac:dyDescent="0.25">
      <c r="A24" s="513" t="s">
        <v>328</v>
      </c>
      <c r="B24" s="528">
        <f>65+5.950051405</f>
        <v>70.950051404999996</v>
      </c>
      <c r="C24" s="515">
        <f>65+5.11626896757065</f>
        <v>70.116268967570647</v>
      </c>
      <c r="D24" s="516">
        <v>5.8011999999999944</v>
      </c>
      <c r="E24" s="321">
        <f>65+4.40810999999999</f>
        <v>69.408109999999994</v>
      </c>
      <c r="F24" s="1060">
        <f>65+3.35646</f>
        <v>68.356459999999998</v>
      </c>
      <c r="G24" s="1152">
        <f>65+7.36785894048172</f>
        <v>72.367858940481725</v>
      </c>
      <c r="H24" s="1060">
        <f>65+5.44890194642996</f>
        <v>70.448901946429956</v>
      </c>
      <c r="I24" s="1060">
        <f>65+5.80319</f>
        <v>70.803190000000001</v>
      </c>
      <c r="J24" s="1060">
        <f>65+2.97615999999999</f>
        <v>67.976159999999993</v>
      </c>
      <c r="K24" s="1060">
        <f>65+4.82185</f>
        <v>69.821849999999998</v>
      </c>
      <c r="L24" s="1060">
        <f>65+5.42198</f>
        <v>70.421980000000005</v>
      </c>
      <c r="M24" s="1060">
        <f>65+4.95684</f>
        <v>69.95684</v>
      </c>
      <c r="N24" s="1060">
        <f>65+5.65122</f>
        <v>70.651219999999995</v>
      </c>
      <c r="O24" s="1060">
        <f>65+4.53282</f>
        <v>69.532820000000001</v>
      </c>
      <c r="P24" s="1060">
        <f>65+7.07736</f>
        <v>72.077359999999999</v>
      </c>
      <c r="Q24" s="1061">
        <f>65+5.72221</f>
        <v>70.722210000000004</v>
      </c>
      <c r="S24" s="181"/>
      <c r="U24" s="181"/>
    </row>
    <row r="25" spans="1:21" s="13" customFormat="1" ht="16.5" customHeight="1" x14ac:dyDescent="0.25">
      <c r="A25" s="285" t="s">
        <v>249</v>
      </c>
      <c r="B25" s="522">
        <v>100</v>
      </c>
      <c r="C25" s="523">
        <v>105.84901691601357</v>
      </c>
      <c r="D25" s="588">
        <v>93.555319688467648</v>
      </c>
      <c r="E25" s="283">
        <v>105.06914265068474</v>
      </c>
      <c r="F25" s="1066">
        <v>101.15813434640688</v>
      </c>
      <c r="G25" s="1155">
        <v>99.956270173301149</v>
      </c>
      <c r="H25" s="1066">
        <v>99.974036358340697</v>
      </c>
      <c r="I25" s="1066">
        <v>104.93567315341056</v>
      </c>
      <c r="J25" s="1066">
        <v>104.10890882547965</v>
      </c>
      <c r="K25" s="1066">
        <v>103.29774325189136</v>
      </c>
      <c r="L25" s="1066">
        <v>102.10965836130781</v>
      </c>
      <c r="M25" s="1066">
        <v>109.72242708816611</v>
      </c>
      <c r="N25" s="1066">
        <v>108.63045358863923</v>
      </c>
      <c r="O25" s="1066">
        <v>100.64926292069218</v>
      </c>
      <c r="P25" s="1066">
        <v>106.13793045309532</v>
      </c>
      <c r="Q25" s="1067">
        <v>103.85996605919044</v>
      </c>
      <c r="S25" s="181"/>
      <c r="U25" s="181"/>
    </row>
    <row r="26" spans="1:21" s="13" customFormat="1" ht="16.5" customHeight="1" x14ac:dyDescent="0.25">
      <c r="A26" s="529" t="s">
        <v>266</v>
      </c>
      <c r="B26" s="528">
        <f>65+7.90219787347759</f>
        <v>72.90219787347759</v>
      </c>
      <c r="C26" s="515">
        <f>65+8.44384682537535</f>
        <v>73.443846825375346</v>
      </c>
      <c r="D26" s="589">
        <v>10.39912200948703</v>
      </c>
      <c r="E26" s="321">
        <f>65+7.79198940811126</f>
        <v>72.791989408111263</v>
      </c>
      <c r="F26" s="1060">
        <f>65+6.7117468326112</f>
        <v>71.711746832611198</v>
      </c>
      <c r="G26" s="1152">
        <f>65+9.48953886366272</f>
        <v>74.489538863662716</v>
      </c>
      <c r="H26" s="1060">
        <f>65+9.0884497936201</f>
        <v>74.0884497936201</v>
      </c>
      <c r="I26" s="1060">
        <f>65+8.60225169428996</f>
        <v>73.602251694289961</v>
      </c>
      <c r="J26" s="1060">
        <f>65+9.36246015265743</f>
        <v>74.362460152657434</v>
      </c>
      <c r="K26" s="1060">
        <f>65+7.74129509925456</f>
        <v>72.741295099254557</v>
      </c>
      <c r="L26" s="1060">
        <f>65+8.34710774607719</f>
        <v>73.347107746077185</v>
      </c>
      <c r="M26" s="1060">
        <f>65+7.62877013364822</f>
        <v>72.628770133648217</v>
      </c>
      <c r="N26" s="1060">
        <f>65+9.26617796612184</f>
        <v>74.266177966121845</v>
      </c>
      <c r="O26" s="1060">
        <f>65+10.6607934859908</f>
        <v>75.660793485990794</v>
      </c>
      <c r="P26" s="1060">
        <f>65+8.31677460411983</f>
        <v>73.316774604119828</v>
      </c>
      <c r="Q26" s="1061">
        <f>65+7.34305241706474</f>
        <v>72.34305241706474</v>
      </c>
      <c r="S26" s="181"/>
      <c r="U26" s="181"/>
    </row>
    <row r="27" spans="1:21" s="13" customFormat="1" ht="16.5" customHeight="1" x14ac:dyDescent="0.25">
      <c r="A27" s="285" t="s">
        <v>250</v>
      </c>
      <c r="B27" s="522">
        <v>100</v>
      </c>
      <c r="C27" s="523">
        <v>99.066559160897512</v>
      </c>
      <c r="D27" s="524">
        <v>97.12032090230413</v>
      </c>
      <c r="E27" s="283">
        <v>99.048104647850963</v>
      </c>
      <c r="F27" s="1066">
        <v>90.447240683485646</v>
      </c>
      <c r="G27" s="1155">
        <v>91.604067921081565</v>
      </c>
      <c r="H27" s="1066">
        <v>99.439343394361529</v>
      </c>
      <c r="I27" s="1066">
        <v>100.06810301381388</v>
      </c>
      <c r="J27" s="1066">
        <v>104.03753866104879</v>
      </c>
      <c r="K27" s="1066">
        <v>99.928843048820539</v>
      </c>
      <c r="L27" s="1066">
        <v>93.746219724541064</v>
      </c>
      <c r="M27" s="1066">
        <v>96.275431973684263</v>
      </c>
      <c r="N27" s="1066">
        <v>101.50336090261898</v>
      </c>
      <c r="O27" s="1066">
        <v>100.56416491504763</v>
      </c>
      <c r="P27" s="1066">
        <v>102.41453185671649</v>
      </c>
      <c r="Q27" s="1067">
        <v>98.200544877114808</v>
      </c>
      <c r="S27" s="181"/>
      <c r="U27" s="181"/>
    </row>
    <row r="28" spans="1:21" s="13" customFormat="1" ht="16.5" customHeight="1" x14ac:dyDescent="0.25">
      <c r="A28" s="288" t="s">
        <v>341</v>
      </c>
      <c r="B28" s="530">
        <v>100</v>
      </c>
      <c r="C28" s="519">
        <v>96.802789080699469</v>
      </c>
      <c r="D28" s="531">
        <v>93.881964575382128</v>
      </c>
      <c r="E28" s="507">
        <v>96.576882607172251</v>
      </c>
      <c r="F28" s="1069">
        <v>90.343357691729409</v>
      </c>
      <c r="G28" s="1157">
        <v>100.47751019536705</v>
      </c>
      <c r="H28" s="1069">
        <v>95.343043520761753</v>
      </c>
      <c r="I28" s="1069">
        <v>92.575029036053635</v>
      </c>
      <c r="J28" s="1069">
        <v>90.096292257786317</v>
      </c>
      <c r="K28" s="1069">
        <v>98.23063222624431</v>
      </c>
      <c r="L28" s="1069">
        <v>91.351581065730954</v>
      </c>
      <c r="M28" s="1069">
        <v>98.881039565050372</v>
      </c>
      <c r="N28" s="1069">
        <v>96.410190629813457</v>
      </c>
      <c r="O28" s="1069">
        <v>91.877704594469833</v>
      </c>
      <c r="P28" s="1069">
        <v>95.242529621857912</v>
      </c>
      <c r="Q28" s="1070">
        <v>92.015366656819594</v>
      </c>
      <c r="S28" s="181"/>
      <c r="U28" s="181"/>
    </row>
    <row r="29" spans="1:21" s="13" customFormat="1" ht="16.5" customHeight="1" x14ac:dyDescent="0.25">
      <c r="A29" s="207" t="s">
        <v>11</v>
      </c>
      <c r="B29" s="957"/>
      <c r="C29" s="958"/>
      <c r="D29" s="959"/>
      <c r="E29" s="967"/>
      <c r="F29" s="967"/>
      <c r="G29" s="1150"/>
      <c r="H29" s="967"/>
      <c r="I29" s="967"/>
      <c r="J29" s="967"/>
      <c r="K29" s="967"/>
      <c r="L29" s="967"/>
      <c r="M29" s="967"/>
      <c r="N29" s="967"/>
      <c r="O29" s="967"/>
      <c r="P29" s="967"/>
      <c r="Q29" s="997"/>
      <c r="S29" s="181"/>
      <c r="U29" s="181"/>
    </row>
    <row r="30" spans="1:21" s="13" customFormat="1" ht="16.5" customHeight="1" x14ac:dyDescent="0.25">
      <c r="A30" s="375" t="s">
        <v>310</v>
      </c>
      <c r="B30" s="533">
        <v>7.3282239349999996</v>
      </c>
      <c r="C30" s="532">
        <v>7.387444072640422</v>
      </c>
      <c r="D30" s="509" t="s">
        <v>180</v>
      </c>
      <c r="E30" s="313">
        <v>7.4973062175871457</v>
      </c>
      <c r="F30" s="1071">
        <v>7.3479572108037194</v>
      </c>
      <c r="G30" s="1158" t="s">
        <v>152</v>
      </c>
      <c r="H30" s="1071">
        <v>7.1998572317533851</v>
      </c>
      <c r="I30" s="1071">
        <v>7.2060813827723136</v>
      </c>
      <c r="J30" s="1071" t="s">
        <v>152</v>
      </c>
      <c r="K30" s="1071">
        <v>6.9205836921077628</v>
      </c>
      <c r="L30" s="1071">
        <v>7.3704472367095937</v>
      </c>
      <c r="M30" s="1071">
        <v>7.4089304751970131</v>
      </c>
      <c r="N30" s="1071">
        <v>7.4436823660241433</v>
      </c>
      <c r="O30" s="1071" t="s">
        <v>77</v>
      </c>
      <c r="P30" s="1071">
        <v>7.2686823660241435</v>
      </c>
      <c r="Q30" s="1072">
        <v>7.2685813827723145</v>
      </c>
      <c r="S30" s="181"/>
      <c r="U30" s="181"/>
    </row>
    <row r="31" spans="1:21" s="13" customFormat="1" ht="16.5" customHeight="1" x14ac:dyDescent="0.25">
      <c r="A31" s="207" t="s">
        <v>12</v>
      </c>
      <c r="B31" s="957"/>
      <c r="C31" s="958"/>
      <c r="D31" s="959"/>
      <c r="E31" s="960"/>
      <c r="F31" s="960"/>
      <c r="G31" s="1159"/>
      <c r="H31" s="960"/>
      <c r="I31" s="960"/>
      <c r="J31" s="960"/>
      <c r="K31" s="960"/>
      <c r="L31" s="960"/>
      <c r="M31" s="960"/>
      <c r="N31" s="960"/>
      <c r="O31" s="960"/>
      <c r="P31" s="960"/>
      <c r="Q31" s="1083"/>
      <c r="S31" s="181"/>
      <c r="U31" s="181"/>
    </row>
    <row r="32" spans="1:21" s="13" customFormat="1" ht="16.5" customHeight="1" x14ac:dyDescent="0.25">
      <c r="A32" s="327" t="s">
        <v>314</v>
      </c>
      <c r="B32" s="328">
        <v>5.6178571428571447</v>
      </c>
      <c r="C32" s="329">
        <v>5.3000000000000007</v>
      </c>
      <c r="D32" s="331">
        <v>6.363469499999999</v>
      </c>
      <c r="E32" s="330">
        <v>3</v>
      </c>
      <c r="F32" s="330">
        <v>7.1</v>
      </c>
      <c r="G32" s="1160">
        <v>5.9</v>
      </c>
      <c r="H32" s="330">
        <v>5.8</v>
      </c>
      <c r="I32" s="330">
        <v>6.7</v>
      </c>
      <c r="J32" s="330">
        <v>5.5</v>
      </c>
      <c r="K32" s="330">
        <v>6.8</v>
      </c>
      <c r="L32" s="330">
        <v>4.4000000000000004</v>
      </c>
      <c r="M32" s="330">
        <v>5.8</v>
      </c>
      <c r="N32" s="330">
        <v>6.6</v>
      </c>
      <c r="O32" s="330">
        <v>5.8</v>
      </c>
      <c r="P32" s="330">
        <v>6.8</v>
      </c>
      <c r="Q32" s="987">
        <v>6.6</v>
      </c>
      <c r="S32" s="181"/>
      <c r="U32" s="181"/>
    </row>
    <row r="33" spans="1:21" s="13" customFormat="1" ht="16.5" customHeight="1" x14ac:dyDescent="0.25">
      <c r="A33" s="333" t="s">
        <v>342</v>
      </c>
      <c r="B33" s="324">
        <v>5.0571428571428569</v>
      </c>
      <c r="C33" s="325">
        <v>6.25</v>
      </c>
      <c r="D33" s="310" t="s">
        <v>5</v>
      </c>
      <c r="E33" s="321">
        <v>6.5</v>
      </c>
      <c r="F33" s="321">
        <v>6</v>
      </c>
      <c r="G33" s="1161">
        <v>6.5</v>
      </c>
      <c r="H33" s="321">
        <v>6.3</v>
      </c>
      <c r="I33" s="303">
        <v>6.3</v>
      </c>
      <c r="J33" s="303">
        <v>5.9</v>
      </c>
      <c r="K33" s="321">
        <v>6.8</v>
      </c>
      <c r="L33" s="321">
        <v>6.6</v>
      </c>
      <c r="M33" s="321">
        <v>5.8</v>
      </c>
      <c r="N33" s="303">
        <v>6.4</v>
      </c>
      <c r="O33" s="303">
        <v>6.3</v>
      </c>
      <c r="P33" s="303">
        <v>6.4</v>
      </c>
      <c r="Q33" s="988">
        <v>6.5</v>
      </c>
      <c r="S33" s="181"/>
      <c r="U33" s="181"/>
    </row>
    <row r="34" spans="1:21" s="13" customFormat="1" ht="16.5" customHeight="1" x14ac:dyDescent="0.25">
      <c r="A34" s="326" t="s">
        <v>312</v>
      </c>
      <c r="B34" s="334">
        <v>6.411538461538461</v>
      </c>
      <c r="C34" s="335">
        <v>6.7333333333333343</v>
      </c>
      <c r="D34" s="311" t="s">
        <v>5</v>
      </c>
      <c r="E34" s="309" t="s">
        <v>5</v>
      </c>
      <c r="F34" s="313">
        <v>6.8</v>
      </c>
      <c r="G34" s="1162" t="s">
        <v>5</v>
      </c>
      <c r="H34" s="313">
        <v>6.6</v>
      </c>
      <c r="I34" s="309">
        <v>6.5</v>
      </c>
      <c r="J34" s="309" t="s">
        <v>5</v>
      </c>
      <c r="K34" s="313" t="s">
        <v>70</v>
      </c>
      <c r="L34" s="313">
        <v>6.6</v>
      </c>
      <c r="M34" s="309">
        <v>7.2</v>
      </c>
      <c r="N34" s="313">
        <v>6.4</v>
      </c>
      <c r="O34" s="309" t="s">
        <v>5</v>
      </c>
      <c r="P34" s="313">
        <v>6.1</v>
      </c>
      <c r="Q34" s="986">
        <v>6.7</v>
      </c>
      <c r="S34" s="181"/>
      <c r="U34" s="181"/>
    </row>
    <row r="35" spans="1:21" ht="11.25" customHeight="1" x14ac:dyDescent="0.25">
      <c r="A35" s="1084"/>
      <c r="B35" s="1085"/>
      <c r="C35" s="1086"/>
      <c r="D35" s="1003"/>
      <c r="E35" s="1002"/>
      <c r="F35" s="1002"/>
      <c r="G35" s="1163"/>
      <c r="H35" s="1002"/>
      <c r="I35" s="1087"/>
      <c r="J35" s="1003"/>
      <c r="K35" s="1002"/>
      <c r="L35" s="1002"/>
      <c r="M35" s="1002"/>
      <c r="N35" s="1002"/>
      <c r="O35" s="1003"/>
      <c r="P35" s="1002"/>
      <c r="Q35" s="1088"/>
      <c r="S35" s="181"/>
      <c r="U35" s="181"/>
    </row>
    <row r="36" spans="1:21" s="13" customFormat="1" ht="16.5" customHeight="1" x14ac:dyDescent="0.25">
      <c r="A36" s="118" t="s">
        <v>285</v>
      </c>
      <c r="B36" s="1089"/>
      <c r="C36" s="1090"/>
      <c r="D36" s="337" t="s">
        <v>5</v>
      </c>
      <c r="E36" s="279">
        <v>2017</v>
      </c>
      <c r="F36" s="279">
        <v>2014</v>
      </c>
      <c r="G36" s="1164">
        <v>2024</v>
      </c>
      <c r="H36" s="279">
        <v>2014</v>
      </c>
      <c r="I36" s="279">
        <v>2019</v>
      </c>
      <c r="J36" s="279">
        <v>2024</v>
      </c>
      <c r="K36" s="279">
        <v>2020</v>
      </c>
      <c r="L36" s="279">
        <v>2011</v>
      </c>
      <c r="M36" s="279">
        <v>2012</v>
      </c>
      <c r="N36" s="279">
        <v>2018</v>
      </c>
      <c r="O36" s="279">
        <v>2024</v>
      </c>
      <c r="P36" s="279">
        <v>2018</v>
      </c>
      <c r="Q36" s="461">
        <v>2019</v>
      </c>
      <c r="S36" s="181"/>
      <c r="U36" s="181"/>
    </row>
    <row r="37" spans="1:21" s="13" customFormat="1" ht="42.5" customHeight="1" x14ac:dyDescent="0.25">
      <c r="A37" s="1191" t="s">
        <v>367</v>
      </c>
      <c r="B37" s="1202"/>
      <c r="C37" s="1203"/>
      <c r="D37" s="337"/>
      <c r="E37" s="1199" t="s">
        <v>370</v>
      </c>
      <c r="F37" s="278" t="s">
        <v>372</v>
      </c>
      <c r="G37" s="1199" t="s">
        <v>383</v>
      </c>
      <c r="H37" s="1199" t="s">
        <v>379</v>
      </c>
      <c r="I37" s="1199" t="s">
        <v>379</v>
      </c>
      <c r="J37" s="1199" t="s">
        <v>370</v>
      </c>
      <c r="K37" s="1199" t="s">
        <v>370</v>
      </c>
      <c r="L37" s="1199" t="s">
        <v>379</v>
      </c>
      <c r="M37" s="1199" t="s">
        <v>383</v>
      </c>
      <c r="N37" s="1199" t="s">
        <v>379</v>
      </c>
      <c r="O37" s="1199" t="s">
        <v>381</v>
      </c>
      <c r="P37" s="1199" t="s">
        <v>379</v>
      </c>
      <c r="Q37" s="1199" t="s">
        <v>379</v>
      </c>
      <c r="S37" s="181"/>
      <c r="U37" s="181"/>
    </row>
    <row r="38" spans="1:21" s="13" customFormat="1" ht="41" customHeight="1" x14ac:dyDescent="0.25">
      <c r="A38" s="1191" t="s">
        <v>384</v>
      </c>
      <c r="B38" s="1202"/>
      <c r="C38" s="1203"/>
      <c r="D38" s="337"/>
      <c r="E38" s="1199" t="s">
        <v>378</v>
      </c>
      <c r="F38" s="278" t="s">
        <v>377</v>
      </c>
      <c r="G38" s="338" t="s">
        <v>376</v>
      </c>
      <c r="H38" s="1199" t="s">
        <v>386</v>
      </c>
      <c r="I38" s="1199" t="s">
        <v>386</v>
      </c>
      <c r="J38" s="1199" t="s">
        <v>378</v>
      </c>
      <c r="K38" s="1199" t="s">
        <v>378</v>
      </c>
      <c r="L38" s="1199" t="s">
        <v>386</v>
      </c>
      <c r="M38" s="338" t="s">
        <v>376</v>
      </c>
      <c r="N38" s="1199" t="s">
        <v>374</v>
      </c>
      <c r="O38" s="1199" t="s">
        <v>381</v>
      </c>
      <c r="P38" s="1199" t="s">
        <v>374</v>
      </c>
      <c r="Q38" s="1199" t="s">
        <v>374</v>
      </c>
      <c r="S38" s="181"/>
      <c r="U38" s="181"/>
    </row>
    <row r="39" spans="1:21" ht="16.5" customHeight="1" x14ac:dyDescent="0.3">
      <c r="A39" s="70" t="s">
        <v>6</v>
      </c>
      <c r="B39" s="1091"/>
      <c r="C39" s="1092"/>
      <c r="D39" s="336"/>
      <c r="E39" s="1087"/>
      <c r="F39" s="1087"/>
      <c r="G39" s="1165"/>
      <c r="H39" s="1087"/>
      <c r="I39" s="1087"/>
      <c r="J39" s="1010"/>
      <c r="K39" s="1087"/>
      <c r="L39" s="1087"/>
      <c r="M39" s="1087"/>
      <c r="N39" s="1087"/>
      <c r="O39" s="1010"/>
      <c r="P39" s="1087"/>
      <c r="Q39" s="1097"/>
      <c r="S39" s="181"/>
      <c r="U39" s="181"/>
    </row>
    <row r="40" spans="1:21" ht="16.5" customHeight="1" x14ac:dyDescent="0.25">
      <c r="A40" s="327" t="s">
        <v>19</v>
      </c>
      <c r="B40" s="1093"/>
      <c r="C40" s="953"/>
      <c r="D40" s="583">
        <v>6</v>
      </c>
      <c r="E40" s="353">
        <v>12</v>
      </c>
      <c r="F40" s="353">
        <v>13</v>
      </c>
      <c r="G40" s="1166">
        <v>6</v>
      </c>
      <c r="H40" s="353">
        <v>18</v>
      </c>
      <c r="I40" s="353">
        <v>14</v>
      </c>
      <c r="J40" s="990">
        <v>6</v>
      </c>
      <c r="K40" s="353">
        <v>12</v>
      </c>
      <c r="L40" s="353">
        <v>10</v>
      </c>
      <c r="M40" s="353">
        <v>15</v>
      </c>
      <c r="N40" s="353">
        <v>14</v>
      </c>
      <c r="O40" s="990">
        <v>6</v>
      </c>
      <c r="P40" s="353">
        <v>14</v>
      </c>
      <c r="Q40" s="1057">
        <v>14</v>
      </c>
      <c r="S40" s="181"/>
      <c r="U40" s="181"/>
    </row>
    <row r="41" spans="1:21" ht="16.5" customHeight="1" x14ac:dyDescent="0.25">
      <c r="A41" s="333" t="s">
        <v>20</v>
      </c>
      <c r="B41" s="1094"/>
      <c r="C41" s="954"/>
      <c r="D41" s="584">
        <v>6</v>
      </c>
      <c r="E41" s="354">
        <v>11</v>
      </c>
      <c r="F41" s="354">
        <v>12</v>
      </c>
      <c r="G41" s="1167">
        <v>6</v>
      </c>
      <c r="H41" s="354">
        <v>15</v>
      </c>
      <c r="I41" s="354">
        <v>13</v>
      </c>
      <c r="J41" s="354">
        <v>6</v>
      </c>
      <c r="K41" s="354">
        <v>11</v>
      </c>
      <c r="L41" s="354">
        <v>10</v>
      </c>
      <c r="M41" s="354">
        <v>13</v>
      </c>
      <c r="N41" s="354">
        <v>13</v>
      </c>
      <c r="O41" s="354">
        <v>6</v>
      </c>
      <c r="P41" s="354">
        <v>13</v>
      </c>
      <c r="Q41" s="993">
        <v>13</v>
      </c>
      <c r="S41" s="181"/>
      <c r="U41" s="181"/>
    </row>
    <row r="42" spans="1:21" ht="16.5" customHeight="1" thickBot="1" x14ac:dyDescent="0.3">
      <c r="A42" s="374" t="s">
        <v>21</v>
      </c>
      <c r="B42" s="1095"/>
      <c r="C42" s="1096"/>
      <c r="D42" s="579">
        <v>6</v>
      </c>
      <c r="E42" s="355">
        <v>10</v>
      </c>
      <c r="F42" s="355">
        <v>11</v>
      </c>
      <c r="G42" s="1168">
        <v>6</v>
      </c>
      <c r="H42" s="355">
        <v>13</v>
      </c>
      <c r="I42" s="355">
        <v>12</v>
      </c>
      <c r="J42" s="355">
        <v>6</v>
      </c>
      <c r="K42" s="355">
        <v>9</v>
      </c>
      <c r="L42" s="355">
        <v>10</v>
      </c>
      <c r="M42" s="355">
        <v>11</v>
      </c>
      <c r="N42" s="355">
        <v>12</v>
      </c>
      <c r="O42" s="355">
        <v>6</v>
      </c>
      <c r="P42" s="355">
        <v>12</v>
      </c>
      <c r="Q42" s="994">
        <v>12</v>
      </c>
      <c r="S42" s="181"/>
      <c r="U42" s="181"/>
    </row>
    <row r="43" spans="1:21" ht="16.5" customHeight="1" x14ac:dyDescent="0.25">
      <c r="A43" s="153"/>
      <c r="B43" s="154"/>
      <c r="C43" s="154"/>
      <c r="D43" s="154"/>
      <c r="E43" s="154"/>
      <c r="F43" s="154"/>
      <c r="G43" s="1169"/>
      <c r="H43" s="154"/>
      <c r="I43" s="604"/>
      <c r="J43" s="604"/>
      <c r="K43" s="154"/>
      <c r="L43" s="154"/>
      <c r="M43" s="154"/>
      <c r="N43" s="154"/>
      <c r="O43" s="604"/>
      <c r="P43" s="154"/>
      <c r="Q43" s="604"/>
      <c r="S43" s="181"/>
    </row>
  </sheetData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81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/>
  <dimension ref="A1:AE38"/>
  <sheetViews>
    <sheetView zoomScaleNormal="100" workbookViewId="0">
      <pane xSplit="8" ySplit="11" topLeftCell="I25" activePane="bottomRight" state="frozen"/>
      <selection pane="topRight" activeCell="I1" sqref="I1"/>
      <selection pane="bottomLeft" activeCell="A12" sqref="A12"/>
      <selection pane="bottomRight" activeCell="F29" sqref="F29:N29"/>
    </sheetView>
  </sheetViews>
  <sheetFormatPr defaultColWidth="9.08984375" defaultRowHeight="12.5" x14ac:dyDescent="0.25"/>
  <cols>
    <col min="1" max="1" width="61.6328125" customWidth="1"/>
    <col min="2" max="2" width="10" style="43" customWidth="1"/>
    <col min="3" max="3" width="9.36328125" style="43" customWidth="1"/>
    <col min="4" max="5" width="8.7265625" style="605" customWidth="1"/>
    <col min="6" max="6" width="8.36328125" style="43" customWidth="1"/>
    <col min="7" max="7" width="8.7265625" style="43" customWidth="1"/>
    <col min="8" max="9" width="8.7265625" style="605" customWidth="1"/>
    <col min="10" max="10" width="9" style="43" bestFit="1" customWidth="1"/>
    <col min="11" max="11" width="10.81640625" style="43" customWidth="1"/>
    <col min="12" max="12" width="8.7265625" style="43" customWidth="1"/>
    <col min="13" max="15" width="8.7265625" style="605" customWidth="1"/>
    <col min="16" max="16" width="8.7265625" style="319" customWidth="1"/>
    <col min="18" max="18" width="9.26953125" customWidth="1"/>
  </cols>
  <sheetData>
    <row r="1" spans="1:31" s="31" customFormat="1" ht="14.5" thickBot="1" x14ac:dyDescent="0.35">
      <c r="A1" s="29" t="s">
        <v>301</v>
      </c>
      <c r="B1" s="30"/>
      <c r="C1" s="30"/>
      <c r="D1" s="603"/>
      <c r="E1" s="603"/>
      <c r="F1" s="30"/>
      <c r="G1" s="30"/>
      <c r="H1" s="603"/>
      <c r="I1" s="603"/>
      <c r="J1" s="30"/>
      <c r="K1" s="30"/>
      <c r="L1" s="30"/>
      <c r="M1" s="603"/>
      <c r="N1" s="603"/>
      <c r="O1" s="603"/>
      <c r="P1" s="30"/>
    </row>
    <row r="2" spans="1:31" ht="85" customHeight="1" x14ac:dyDescent="0.25">
      <c r="A2" s="147"/>
      <c r="B2" s="68" t="s">
        <v>86</v>
      </c>
      <c r="C2" s="68" t="s">
        <v>302</v>
      </c>
      <c r="D2" s="749" t="s">
        <v>56</v>
      </c>
      <c r="E2" s="750" t="s">
        <v>91</v>
      </c>
      <c r="F2" s="751" t="s">
        <v>166</v>
      </c>
      <c r="G2" s="752" t="s">
        <v>24</v>
      </c>
      <c r="H2" s="751" t="s">
        <v>23</v>
      </c>
      <c r="I2" s="751" t="s">
        <v>191</v>
      </c>
      <c r="J2" s="750" t="s">
        <v>25</v>
      </c>
      <c r="K2" s="751" t="s">
        <v>165</v>
      </c>
      <c r="L2" s="753" t="s">
        <v>141</v>
      </c>
      <c r="M2" s="751" t="s">
        <v>137</v>
      </c>
      <c r="N2" s="751" t="s">
        <v>26</v>
      </c>
      <c r="O2" s="751" t="s">
        <v>267</v>
      </c>
      <c r="P2" s="818" t="s">
        <v>84</v>
      </c>
    </row>
    <row r="3" spans="1:31" ht="22.15" customHeight="1" x14ac:dyDescent="0.25">
      <c r="A3" s="148" t="s">
        <v>269</v>
      </c>
      <c r="B3" s="838"/>
      <c r="C3" s="838"/>
      <c r="D3" s="278" t="s">
        <v>1</v>
      </c>
      <c r="E3" s="348" t="s">
        <v>2</v>
      </c>
      <c r="F3" s="278" t="s">
        <v>2</v>
      </c>
      <c r="G3" s="352" t="s">
        <v>1</v>
      </c>
      <c r="H3" s="278" t="s">
        <v>1</v>
      </c>
      <c r="I3" s="278" t="s">
        <v>2</v>
      </c>
      <c r="J3" s="348" t="s">
        <v>1</v>
      </c>
      <c r="K3" s="278" t="s">
        <v>2</v>
      </c>
      <c r="L3" s="839" t="s">
        <v>2</v>
      </c>
      <c r="M3" s="278" t="s">
        <v>1</v>
      </c>
      <c r="N3" s="278" t="s">
        <v>1</v>
      </c>
      <c r="O3" s="278" t="s">
        <v>2</v>
      </c>
      <c r="P3" s="840" t="s">
        <v>2</v>
      </c>
    </row>
    <row r="4" spans="1:31" ht="18.75" customHeight="1" x14ac:dyDescent="0.25">
      <c r="A4" s="149" t="s">
        <v>7</v>
      </c>
      <c r="B4" s="795"/>
      <c r="C4" s="795"/>
      <c r="D4" s="1184">
        <v>142.26600000000002</v>
      </c>
      <c r="E4" s="1184">
        <v>142.39600000000002</v>
      </c>
      <c r="F4" s="1184">
        <v>143.30599999999998</v>
      </c>
      <c r="G4" s="1184">
        <v>143.53100000000001</v>
      </c>
      <c r="H4" s="1184">
        <v>143.58199999999999</v>
      </c>
      <c r="I4" s="1184">
        <v>143.839</v>
      </c>
      <c r="J4" s="1184">
        <v>144.114</v>
      </c>
      <c r="K4" s="1184">
        <v>144.416</v>
      </c>
      <c r="L4" s="1184">
        <v>144.57499999999999</v>
      </c>
      <c r="M4" s="1184">
        <v>144.648</v>
      </c>
      <c r="N4" s="1184">
        <v>144.87799999999999</v>
      </c>
      <c r="O4" s="1184">
        <v>145.95600000000002</v>
      </c>
      <c r="P4" s="1184">
        <v>146.03100000000001</v>
      </c>
    </row>
    <row r="5" spans="1:31" s="13" customFormat="1" ht="18" customHeight="1" x14ac:dyDescent="0.25">
      <c r="A5" s="112" t="s">
        <v>303</v>
      </c>
      <c r="B5" s="797"/>
      <c r="C5" s="797"/>
      <c r="D5" s="799"/>
      <c r="E5" s="799"/>
      <c r="F5" s="799"/>
      <c r="G5" s="799"/>
      <c r="H5" s="799"/>
      <c r="I5" s="799"/>
      <c r="J5" s="799"/>
      <c r="K5" s="799"/>
      <c r="L5" s="799"/>
      <c r="M5" s="799"/>
      <c r="N5" s="799"/>
      <c r="O5" s="799"/>
      <c r="P5" s="819"/>
    </row>
    <row r="6" spans="1:31" s="109" customFormat="1" ht="16.5" customHeight="1" x14ac:dyDescent="0.25">
      <c r="A6" s="295" t="s">
        <v>236</v>
      </c>
      <c r="B6" s="175">
        <v>100</v>
      </c>
      <c r="C6" s="175">
        <v>100.0895649508449</v>
      </c>
      <c r="D6" s="756">
        <v>100.22552551546798</v>
      </c>
      <c r="E6" s="59">
        <v>98.881691979968437</v>
      </c>
      <c r="F6" s="59">
        <v>104.1618298757288</v>
      </c>
      <c r="G6" s="757">
        <v>99.849476416906825</v>
      </c>
      <c r="H6" s="546">
        <v>99.581060506430248</v>
      </c>
      <c r="I6" s="546">
        <v>101.21647063114204</v>
      </c>
      <c r="J6" s="59">
        <v>101.28549013279408</v>
      </c>
      <c r="K6" s="59">
        <v>100.66197003517593</v>
      </c>
      <c r="L6" s="59">
        <v>99.818753713653621</v>
      </c>
      <c r="M6" s="546">
        <v>102.56870441147402</v>
      </c>
      <c r="N6" s="59">
        <v>99.506272182625423</v>
      </c>
      <c r="O6" s="546">
        <v>101.78556575993741</v>
      </c>
      <c r="P6" s="820">
        <v>98.339685604135141</v>
      </c>
      <c r="Q6" s="13"/>
      <c r="R6" s="181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</row>
    <row r="7" spans="1:31" s="89" customFormat="1" ht="17.25" customHeight="1" x14ac:dyDescent="0.25">
      <c r="A7" s="289" t="s">
        <v>237</v>
      </c>
      <c r="B7" s="163">
        <v>100</v>
      </c>
      <c r="C7" s="163">
        <v>100.33836332763231</v>
      </c>
      <c r="D7" s="758">
        <v>100.94418641561096</v>
      </c>
      <c r="E7" s="60">
        <v>101.89544411003689</v>
      </c>
      <c r="F7" s="60">
        <v>99.459533121024336</v>
      </c>
      <c r="G7" s="759">
        <v>99.31947109858821</v>
      </c>
      <c r="H7" s="536">
        <v>99.851149431432361</v>
      </c>
      <c r="I7" s="536">
        <v>105.30364622733252</v>
      </c>
      <c r="J7" s="60">
        <v>99.50256450524212</v>
      </c>
      <c r="K7" s="60">
        <v>101.19600820417449</v>
      </c>
      <c r="L7" s="60">
        <v>101.42521632268804</v>
      </c>
      <c r="M7" s="536">
        <v>101.24789375435559</v>
      </c>
      <c r="N7" s="60">
        <v>102.07444518728795</v>
      </c>
      <c r="O7" s="536">
        <v>104.31083816220284</v>
      </c>
      <c r="P7" s="821">
        <v>99.707990524994329</v>
      </c>
      <c r="Q7" s="13"/>
      <c r="R7" s="181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</row>
    <row r="8" spans="1:31" s="89" customFormat="1" ht="17.25" customHeight="1" x14ac:dyDescent="0.25">
      <c r="A8" s="289" t="s">
        <v>238</v>
      </c>
      <c r="B8" s="163">
        <v>100</v>
      </c>
      <c r="C8" s="297">
        <v>100.21714537272622</v>
      </c>
      <c r="D8" s="758">
        <v>100.56774499172654</v>
      </c>
      <c r="E8" s="60">
        <v>100.45408439565632</v>
      </c>
      <c r="F8" s="60">
        <v>101.34045182290612</v>
      </c>
      <c r="G8" s="60">
        <v>99.584473757747517</v>
      </c>
      <c r="H8" s="60">
        <v>99.716104968931319</v>
      </c>
      <c r="I8" s="60">
        <v>103.26005842923728</v>
      </c>
      <c r="J8" s="60">
        <v>100.42704446026907</v>
      </c>
      <c r="K8" s="60">
        <v>100.98239293657507</v>
      </c>
      <c r="L8" s="60">
        <v>100.74881101362092</v>
      </c>
      <c r="M8" s="60">
        <v>101.87958580776004</v>
      </c>
      <c r="N8" s="60">
        <v>100.79035868495669</v>
      </c>
      <c r="O8" s="60">
        <v>103.04820196107012</v>
      </c>
      <c r="P8" s="821">
        <v>98.99409230541562</v>
      </c>
      <c r="Q8" s="13"/>
      <c r="R8" s="181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</row>
    <row r="9" spans="1:31" s="89" customFormat="1" ht="30" customHeight="1" x14ac:dyDescent="0.25">
      <c r="A9" s="298" t="s">
        <v>333</v>
      </c>
      <c r="B9" s="101">
        <v>100</v>
      </c>
      <c r="C9" s="101">
        <v>98.691392699518076</v>
      </c>
      <c r="D9" s="841">
        <v>99.908205030107922</v>
      </c>
      <c r="E9" s="536">
        <v>95.513745009912085</v>
      </c>
      <c r="F9" s="536">
        <v>101.42134684559538</v>
      </c>
      <c r="G9" s="758">
        <v>97.348213050531115</v>
      </c>
      <c r="H9" s="536">
        <v>97.524502984558197</v>
      </c>
      <c r="I9" s="536">
        <v>98.61286499186005</v>
      </c>
      <c r="J9" s="536">
        <v>99.408070876075556</v>
      </c>
      <c r="K9" s="536">
        <v>98.794410519545067</v>
      </c>
      <c r="L9" s="536">
        <v>99.59675803527837</v>
      </c>
      <c r="M9" s="536">
        <v>100.64627514849681</v>
      </c>
      <c r="N9" s="536">
        <v>99.267971556317633</v>
      </c>
      <c r="O9" s="60">
        <v>100.07431912881637</v>
      </c>
      <c r="P9" s="822">
        <v>94.581138988228176</v>
      </c>
      <c r="Q9" s="13"/>
      <c r="R9" s="181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</row>
    <row r="10" spans="1:31" s="89" customFormat="1" ht="17.25" customHeight="1" x14ac:dyDescent="0.25">
      <c r="A10" s="289" t="s">
        <v>304</v>
      </c>
      <c r="B10" s="163">
        <v>100</v>
      </c>
      <c r="C10" s="163">
        <v>94.073886425550413</v>
      </c>
      <c r="D10" s="842">
        <v>91.805382014112254</v>
      </c>
      <c r="E10" s="764">
        <v>99.025266430893325</v>
      </c>
      <c r="F10" s="764">
        <v>99.284121215849396</v>
      </c>
      <c r="G10" s="764">
        <v>96.907788660108892</v>
      </c>
      <c r="H10" s="764">
        <v>101.77608501419806</v>
      </c>
      <c r="I10" s="844" t="s">
        <v>5</v>
      </c>
      <c r="J10" s="764">
        <v>91.731833206439006</v>
      </c>
      <c r="K10" s="764">
        <v>90.551363048365445</v>
      </c>
      <c r="L10" s="764">
        <v>96.901633642898261</v>
      </c>
      <c r="M10" s="764">
        <v>100.53514335769285</v>
      </c>
      <c r="N10" s="764">
        <v>88.148343232893865</v>
      </c>
      <c r="O10" s="843" t="s">
        <v>5</v>
      </c>
      <c r="P10" s="823">
        <v>95.955525238186567</v>
      </c>
      <c r="Q10" s="13"/>
      <c r="R10" s="181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</row>
    <row r="11" spans="1:31" s="113" customFormat="1" ht="18" customHeight="1" x14ac:dyDescent="0.25">
      <c r="A11" s="373" t="s">
        <v>305</v>
      </c>
      <c r="B11" s="800"/>
      <c r="C11" s="801"/>
      <c r="D11" s="799"/>
      <c r="E11" s="799"/>
      <c r="F11" s="799"/>
      <c r="G11" s="799"/>
      <c r="H11" s="799"/>
      <c r="I11" s="799"/>
      <c r="J11" s="799"/>
      <c r="K11" s="799"/>
      <c r="L11" s="799"/>
      <c r="M11" s="799"/>
      <c r="N11" s="799"/>
      <c r="O11" s="799"/>
      <c r="P11" s="819"/>
      <c r="Q11" s="110"/>
      <c r="R11" s="181"/>
      <c r="S11" s="110"/>
      <c r="T11" s="110"/>
      <c r="U11" s="110"/>
      <c r="V11" s="110"/>
      <c r="W11" s="110"/>
      <c r="X11" s="110"/>
      <c r="Y11" s="110"/>
      <c r="Z11" s="110"/>
      <c r="AA11" s="110"/>
      <c r="AB11" s="110"/>
      <c r="AC11" s="110"/>
      <c r="AD11" s="110"/>
      <c r="AE11" s="110"/>
    </row>
    <row r="12" spans="1:31" s="89" customFormat="1" ht="17.25" customHeight="1" x14ac:dyDescent="0.25">
      <c r="A12" s="294" t="s">
        <v>251</v>
      </c>
      <c r="B12" s="175">
        <v>100</v>
      </c>
      <c r="C12" s="175">
        <v>101.8921270762965</v>
      </c>
      <c r="D12" s="756">
        <v>102.2480134305593</v>
      </c>
      <c r="E12" s="59">
        <v>109.39403169226202</v>
      </c>
      <c r="F12" s="59">
        <v>101.02312096004886</v>
      </c>
      <c r="G12" s="757">
        <v>99.493345435218274</v>
      </c>
      <c r="H12" s="546">
        <v>104.59185028855541</v>
      </c>
      <c r="I12" s="546">
        <v>100.65124636785401</v>
      </c>
      <c r="J12" s="546">
        <v>98.423161700801444</v>
      </c>
      <c r="K12" s="59">
        <v>107.38155099878007</v>
      </c>
      <c r="L12" s="59">
        <v>92.610832063967138</v>
      </c>
      <c r="M12" s="546">
        <v>108.66333908332888</v>
      </c>
      <c r="N12" s="59">
        <v>104.70426452634806</v>
      </c>
      <c r="O12" s="546">
        <v>103.15808391676055</v>
      </c>
      <c r="P12" s="820">
        <v>103.72295306625166</v>
      </c>
      <c r="Q12" s="13"/>
      <c r="R12" s="181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</row>
    <row r="13" spans="1:31" s="89" customFormat="1" ht="17.25" customHeight="1" x14ac:dyDescent="0.25">
      <c r="A13" s="290" t="s">
        <v>234</v>
      </c>
      <c r="B13" s="163">
        <v>100</v>
      </c>
      <c r="C13" s="163">
        <v>97.921904775639405</v>
      </c>
      <c r="D13" s="758">
        <v>101.22879899964023</v>
      </c>
      <c r="E13" s="60">
        <v>95.711794782830125</v>
      </c>
      <c r="F13" s="60">
        <v>100.2204285658777</v>
      </c>
      <c r="G13" s="759">
        <v>95.463811015703556</v>
      </c>
      <c r="H13" s="536">
        <v>99.369650563469008</v>
      </c>
      <c r="I13" s="536">
        <v>101.47749308114049</v>
      </c>
      <c r="J13" s="536">
        <v>96.302122654700767</v>
      </c>
      <c r="K13" s="60">
        <v>100.58179481253583</v>
      </c>
      <c r="L13" s="60">
        <v>97.094793953908905</v>
      </c>
      <c r="M13" s="536">
        <v>97.452352026961876</v>
      </c>
      <c r="N13" s="60">
        <v>97.245140644683431</v>
      </c>
      <c r="O13" s="536">
        <v>100.20427349366506</v>
      </c>
      <c r="P13" s="821">
        <v>93.120644539647444</v>
      </c>
      <c r="Q13" s="13"/>
      <c r="R13" s="181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</row>
    <row r="14" spans="1:31" s="89" customFormat="1" ht="17.25" customHeight="1" x14ac:dyDescent="0.25">
      <c r="A14" s="582" t="s">
        <v>307</v>
      </c>
      <c r="B14" s="166">
        <f>6.85164816901039+65</f>
        <v>71.851648169010389</v>
      </c>
      <c r="C14" s="166">
        <f>65+6.58154978226645</f>
        <v>71.58154978226645</v>
      </c>
      <c r="D14" s="762">
        <f>65+6.09009214325711</f>
        <v>71.09009214325711</v>
      </c>
      <c r="E14" s="747">
        <f>65+6.22096368338805</f>
        <v>71.22096368338805</v>
      </c>
      <c r="F14" s="747">
        <f>65+5.63687104645307</f>
        <v>70.636871046453066</v>
      </c>
      <c r="G14" s="763">
        <f>65+6.94052464622698</f>
        <v>71.940524646226976</v>
      </c>
      <c r="H14" s="709">
        <f>65+6.1310921432581</f>
        <v>71.131092143258101</v>
      </c>
      <c r="I14" s="709">
        <f>65+5.69440129880851</f>
        <v>70.694401298808515</v>
      </c>
      <c r="J14" s="709">
        <f>65+7.03894783533191</f>
        <v>72.038947835331911</v>
      </c>
      <c r="K14" s="747">
        <f>65+5.6379821575642</f>
        <v>70.637982157564196</v>
      </c>
      <c r="L14" s="747">
        <f>65+6.7853563600635</f>
        <v>71.785356360063503</v>
      </c>
      <c r="M14" s="709">
        <f>65+6.8326589830933</f>
        <v>71.832658983093296</v>
      </c>
      <c r="N14" s="747">
        <f>65+6.70709214325812</f>
        <v>71.707092143258123</v>
      </c>
      <c r="O14" s="709">
        <f>65+6.52844661021305</f>
        <v>71.528446610213052</v>
      </c>
      <c r="P14" s="824">
        <f>65+6.16397797255229</f>
        <v>71.163977972552289</v>
      </c>
      <c r="Q14" s="13"/>
      <c r="R14" s="181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</row>
    <row r="15" spans="1:31" s="89" customFormat="1" ht="17.25" customHeight="1" x14ac:dyDescent="0.25">
      <c r="A15" s="290" t="s">
        <v>235</v>
      </c>
      <c r="B15" s="163">
        <v>100</v>
      </c>
      <c r="C15" s="163">
        <v>100.40308361033706</v>
      </c>
      <c r="D15" s="758">
        <v>101.21085409487631</v>
      </c>
      <c r="E15" s="60">
        <v>97.76123216873998</v>
      </c>
      <c r="F15" s="60">
        <v>106.80073877262728</v>
      </c>
      <c r="G15" s="759">
        <v>100.24510855696474</v>
      </c>
      <c r="H15" s="536">
        <v>97.531875206177801</v>
      </c>
      <c r="I15" s="536">
        <v>98.384659964654901</v>
      </c>
      <c r="J15" s="536">
        <v>102.89702165877848</v>
      </c>
      <c r="K15" s="60">
        <v>98.893506294144856</v>
      </c>
      <c r="L15" s="60">
        <v>103.91928841199088</v>
      </c>
      <c r="M15" s="536">
        <v>105.50666927124973</v>
      </c>
      <c r="N15" s="60">
        <v>100.13055853488788</v>
      </c>
      <c r="O15" s="536">
        <v>100.73940567293286</v>
      </c>
      <c r="P15" s="821">
        <v>99.847264520413489</v>
      </c>
      <c r="Q15" s="13"/>
      <c r="R15" s="181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</row>
    <row r="16" spans="1:31" s="168" customFormat="1" ht="17.25" customHeight="1" x14ac:dyDescent="0.25">
      <c r="A16" s="1133" t="s">
        <v>308</v>
      </c>
      <c r="B16" s="166">
        <f>65+-0.323728488841908</f>
        <v>64.676271511158092</v>
      </c>
      <c r="C16" s="166">
        <f>65+-0.59454913156317</f>
        <v>64.40545086843683</v>
      </c>
      <c r="D16" s="762">
        <f>65+-1.15963736467146</f>
        <v>63.840362635328539</v>
      </c>
      <c r="E16" s="747">
        <f>65+-1.31711880642501</f>
        <v>63.682881193574993</v>
      </c>
      <c r="F16" s="747">
        <f>65+-0.781971404889319</f>
        <v>64.218028595110681</v>
      </c>
      <c r="G16" s="763">
        <f>65+-0.420936311262309</f>
        <v>64.579063688737691</v>
      </c>
      <c r="H16" s="709">
        <f>65+-0.508923833384983</f>
        <v>64.491076166615017</v>
      </c>
      <c r="I16" s="709">
        <f>65+-1.72321634805095</f>
        <v>63.276783651949053</v>
      </c>
      <c r="J16" s="709">
        <f>65+-0.0702774504775334</f>
        <v>64.929722549522467</v>
      </c>
      <c r="K16" s="747">
        <f>65+-0.718638071555944</f>
        <v>64.281361928444056</v>
      </c>
      <c r="L16" s="747">
        <f>65+-0.577851360359361</f>
        <v>64.422148639640639</v>
      </c>
      <c r="M16" s="709">
        <f>65+-0.323333409254317</f>
        <v>64.676666590745683</v>
      </c>
      <c r="N16" s="747">
        <f>65+-0.812970698019498</f>
        <v>64.187029301980502</v>
      </c>
      <c r="O16" s="709">
        <f>65+-0.630494110031123</f>
        <v>64.369505889968877</v>
      </c>
      <c r="P16" s="824">
        <f>65+-1.00158807173983</f>
        <v>63.998411928260168</v>
      </c>
      <c r="Q16" s="167"/>
      <c r="R16" s="181"/>
      <c r="S16" s="167"/>
      <c r="T16" s="167"/>
      <c r="U16" s="167"/>
      <c r="V16" s="167"/>
      <c r="W16" s="167"/>
      <c r="X16" s="167"/>
      <c r="Y16" s="167"/>
      <c r="Z16" s="167"/>
      <c r="AA16" s="167"/>
      <c r="AB16" s="167"/>
      <c r="AC16" s="167"/>
      <c r="AD16" s="167"/>
      <c r="AE16" s="167"/>
    </row>
    <row r="17" spans="1:31" s="89" customFormat="1" ht="17.25" customHeight="1" x14ac:dyDescent="0.25">
      <c r="A17" s="296" t="s">
        <v>309</v>
      </c>
      <c r="B17" s="176">
        <v>100</v>
      </c>
      <c r="C17" s="176">
        <v>101.83475194363348</v>
      </c>
      <c r="D17" s="764">
        <v>97.566979513973493</v>
      </c>
      <c r="E17" s="765">
        <v>99.861258956174964</v>
      </c>
      <c r="F17" s="765">
        <v>107.77022426393067</v>
      </c>
      <c r="G17" s="766">
        <v>104.98870827818457</v>
      </c>
      <c r="H17" s="728">
        <v>99.720799112031841</v>
      </c>
      <c r="I17" s="728">
        <v>103.46892633850985</v>
      </c>
      <c r="J17" s="728">
        <v>106.93110184900124</v>
      </c>
      <c r="K17" s="765">
        <v>99.887599393766706</v>
      </c>
      <c r="L17" s="765">
        <v>101.96676960153052</v>
      </c>
      <c r="M17" s="728">
        <v>104.20113300423827</v>
      </c>
      <c r="N17" s="765">
        <v>99.966170964976314</v>
      </c>
      <c r="O17" s="728">
        <v>104.13145306399711</v>
      </c>
      <c r="P17" s="825">
        <v>101.98879357828022</v>
      </c>
      <c r="Q17" s="13"/>
      <c r="R17" s="181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</row>
    <row r="18" spans="1:31" s="87" customFormat="1" ht="18" customHeight="1" x14ac:dyDescent="0.25">
      <c r="A18" s="150" t="s">
        <v>11</v>
      </c>
      <c r="B18" s="802"/>
      <c r="C18" s="802"/>
      <c r="D18" s="803"/>
      <c r="E18" s="799"/>
      <c r="F18" s="799"/>
      <c r="G18" s="799"/>
      <c r="H18" s="799"/>
      <c r="I18" s="799"/>
      <c r="J18" s="799"/>
      <c r="K18" s="799"/>
      <c r="L18" s="799"/>
      <c r="M18" s="799"/>
      <c r="N18" s="799"/>
      <c r="O18" s="799"/>
      <c r="P18" s="819"/>
      <c r="Q18" s="13"/>
      <c r="R18" s="181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</row>
    <row r="19" spans="1:31" s="13" customFormat="1" ht="17.25" customHeight="1" x14ac:dyDescent="0.25">
      <c r="A19" s="1181" t="s">
        <v>293</v>
      </c>
      <c r="B19" s="165">
        <v>59.038339880000002</v>
      </c>
      <c r="C19" s="165">
        <v>61.605352974886102</v>
      </c>
      <c r="D19" s="767">
        <v>59.885659004841614</v>
      </c>
      <c r="E19" s="768">
        <v>64.199512303119988</v>
      </c>
      <c r="F19" s="768">
        <v>61.776805126217724</v>
      </c>
      <c r="G19" s="769">
        <v>61.27844108990778</v>
      </c>
      <c r="H19" s="770">
        <v>60.940659004816702</v>
      </c>
      <c r="I19" s="735">
        <v>66.263793506882308</v>
      </c>
      <c r="J19" s="768">
        <v>63.871346770047694</v>
      </c>
      <c r="K19" s="768">
        <v>61.16936068177327</v>
      </c>
      <c r="L19" s="768">
        <v>62.554004580080942</v>
      </c>
      <c r="M19" s="770">
        <v>61.661371386432414</v>
      </c>
      <c r="N19" s="768">
        <v>62.05065900481673</v>
      </c>
      <c r="O19" s="735">
        <v>66.051961825133844</v>
      </c>
      <c r="P19" s="826">
        <v>62.526015025249514</v>
      </c>
      <c r="R19" s="181"/>
    </row>
    <row r="20" spans="1:31" s="13" customFormat="1" ht="17.25" customHeight="1" x14ac:dyDescent="0.25">
      <c r="A20" s="1182" t="s">
        <v>294</v>
      </c>
      <c r="B20" s="163">
        <v>51.239842369999998</v>
      </c>
      <c r="C20" s="163">
        <v>53.355109633486379</v>
      </c>
      <c r="D20" s="758">
        <v>45.406433855743487</v>
      </c>
      <c r="E20" s="60">
        <v>56.334399131124492</v>
      </c>
      <c r="F20" s="60">
        <v>52.004618806046906</v>
      </c>
      <c r="G20" s="759">
        <v>54.38531482181795</v>
      </c>
      <c r="H20" s="536">
        <v>54.090867624077255</v>
      </c>
      <c r="I20" s="536">
        <v>60.880046475396675</v>
      </c>
      <c r="J20" s="60">
        <v>56.130464241715934</v>
      </c>
      <c r="K20" s="60">
        <v>53.61195213938025</v>
      </c>
      <c r="L20" s="60">
        <v>55.393781466291102</v>
      </c>
      <c r="M20" s="536">
        <v>54.794489980102021</v>
      </c>
      <c r="N20" s="60">
        <v>56.762467624077267</v>
      </c>
      <c r="O20" s="536">
        <v>59.030046486500147</v>
      </c>
      <c r="P20" s="821">
        <v>52.188852947239354</v>
      </c>
      <c r="R20" s="181"/>
    </row>
    <row r="21" spans="1:31" s="92" customFormat="1" ht="17.25" customHeight="1" x14ac:dyDescent="0.25">
      <c r="A21" s="375" t="s">
        <v>310</v>
      </c>
      <c r="B21" s="177">
        <v>7.4096325690000002</v>
      </c>
      <c r="C21" s="177">
        <v>7.3701460117299042</v>
      </c>
      <c r="D21" s="771">
        <v>7.2545595224878729</v>
      </c>
      <c r="E21" s="772" t="s">
        <v>152</v>
      </c>
      <c r="F21" s="773" t="s">
        <v>181</v>
      </c>
      <c r="G21" s="774">
        <v>7.3836616187296817</v>
      </c>
      <c r="H21" s="775">
        <v>7.0387301987084232</v>
      </c>
      <c r="I21" s="776" t="s">
        <v>5</v>
      </c>
      <c r="J21" s="773">
        <v>7.4118900847893361</v>
      </c>
      <c r="K21" s="773" t="s">
        <v>182</v>
      </c>
      <c r="L21" s="772" t="s">
        <v>5</v>
      </c>
      <c r="M21" s="777" t="s">
        <v>179</v>
      </c>
      <c r="N21" s="773">
        <v>7.7618886339342108</v>
      </c>
      <c r="O21" s="776" t="s">
        <v>5</v>
      </c>
      <c r="P21" s="827">
        <v>7.5938869993995057</v>
      </c>
      <c r="Q21" s="13"/>
      <c r="R21" s="181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</row>
    <row r="22" spans="1:31" s="111" customFormat="1" ht="18" customHeight="1" x14ac:dyDescent="0.25">
      <c r="A22" s="151" t="s">
        <v>12</v>
      </c>
      <c r="B22" s="804"/>
      <c r="C22" s="804"/>
      <c r="D22" s="799"/>
      <c r="E22" s="805"/>
      <c r="F22" s="805"/>
      <c r="G22" s="799"/>
      <c r="H22" s="805"/>
      <c r="I22" s="805"/>
      <c r="J22" s="805"/>
      <c r="K22" s="805"/>
      <c r="L22" s="805"/>
      <c r="M22" s="805"/>
      <c r="N22" s="805"/>
      <c r="O22" s="805"/>
      <c r="P22" s="828"/>
      <c r="Q22" s="110"/>
      <c r="R22" s="110"/>
      <c r="S22" s="110"/>
      <c r="T22" s="110"/>
      <c r="U22" s="110"/>
      <c r="V22" s="110"/>
      <c r="W22" s="110"/>
      <c r="X22" s="110"/>
      <c r="Y22" s="110"/>
      <c r="Z22" s="110"/>
      <c r="AA22" s="110"/>
      <c r="AB22" s="110"/>
      <c r="AC22" s="110"/>
      <c r="AD22" s="110"/>
      <c r="AE22" s="110"/>
    </row>
    <row r="23" spans="1:31" s="178" customFormat="1" ht="17.25" customHeight="1" x14ac:dyDescent="0.25">
      <c r="A23" s="171" t="s">
        <v>311</v>
      </c>
      <c r="B23" s="145">
        <v>4.7863636363636353</v>
      </c>
      <c r="C23" s="145">
        <v>4.33</v>
      </c>
      <c r="D23" s="778">
        <v>6.2</v>
      </c>
      <c r="E23" s="779" t="s">
        <v>5</v>
      </c>
      <c r="F23" s="410" t="s">
        <v>5</v>
      </c>
      <c r="G23" s="780">
        <v>3.3</v>
      </c>
      <c r="H23" s="780">
        <v>3.8</v>
      </c>
      <c r="I23" s="779" t="s">
        <v>5</v>
      </c>
      <c r="J23" s="781">
        <v>4.55</v>
      </c>
      <c r="K23" s="410" t="s">
        <v>5</v>
      </c>
      <c r="L23" s="410" t="s">
        <v>5</v>
      </c>
      <c r="M23" s="780" t="s">
        <v>5</v>
      </c>
      <c r="N23" s="781">
        <v>3.8</v>
      </c>
      <c r="O23" s="779" t="s">
        <v>5</v>
      </c>
      <c r="P23" s="829" t="s">
        <v>5</v>
      </c>
      <c r="Q23" s="257"/>
      <c r="R23" s="110"/>
      <c r="S23" s="110"/>
      <c r="T23" s="110"/>
      <c r="U23" s="110"/>
      <c r="V23" s="110"/>
      <c r="W23" s="110"/>
      <c r="X23" s="110"/>
      <c r="Y23" s="110"/>
      <c r="Z23" s="110"/>
      <c r="AA23" s="110"/>
      <c r="AB23" s="110"/>
      <c r="AC23" s="110"/>
      <c r="AD23" s="110"/>
      <c r="AE23" s="110"/>
    </row>
    <row r="24" spans="1:31" s="178" customFormat="1" ht="17.25" customHeight="1" x14ac:dyDescent="0.25">
      <c r="A24" s="171" t="s">
        <v>312</v>
      </c>
      <c r="B24" s="145">
        <v>6.6916666666666664</v>
      </c>
      <c r="C24" s="145">
        <v>6.9</v>
      </c>
      <c r="D24" s="778">
        <v>6.8</v>
      </c>
      <c r="E24" s="779">
        <v>6.7</v>
      </c>
      <c r="F24" s="780" t="s">
        <v>77</v>
      </c>
      <c r="G24" s="780">
        <v>6.8</v>
      </c>
      <c r="H24" s="780">
        <v>6.9</v>
      </c>
      <c r="I24" s="779" t="s">
        <v>5</v>
      </c>
      <c r="J24" s="780">
        <v>7.1</v>
      </c>
      <c r="K24" s="780" t="s">
        <v>230</v>
      </c>
      <c r="L24" s="780">
        <v>6.9</v>
      </c>
      <c r="M24" s="780">
        <v>7.1</v>
      </c>
      <c r="N24" s="780">
        <v>6.9</v>
      </c>
      <c r="O24" s="779" t="s">
        <v>5</v>
      </c>
      <c r="P24" s="830">
        <v>7.2</v>
      </c>
      <c r="Q24" s="257"/>
      <c r="R24" s="110"/>
      <c r="S24" s="110"/>
      <c r="T24" s="110"/>
      <c r="U24" s="110"/>
      <c r="V24" s="110"/>
      <c r="W24" s="110"/>
      <c r="X24" s="110"/>
      <c r="Y24" s="110"/>
      <c r="Z24" s="110"/>
      <c r="AA24" s="110"/>
      <c r="AB24" s="110"/>
      <c r="AC24" s="110"/>
      <c r="AD24" s="110"/>
      <c r="AE24" s="110"/>
    </row>
    <row r="25" spans="1:31" s="179" customFormat="1" ht="17.25" customHeight="1" x14ac:dyDescent="0.25">
      <c r="A25" s="172" t="s">
        <v>313</v>
      </c>
      <c r="B25" s="145">
        <v>6.3333333333333321</v>
      </c>
      <c r="C25" s="145">
        <v>6.12</v>
      </c>
      <c r="D25" s="762">
        <v>6.3</v>
      </c>
      <c r="E25" s="779">
        <v>6.6</v>
      </c>
      <c r="F25" s="780" t="s">
        <v>77</v>
      </c>
      <c r="G25" s="780">
        <v>5.9</v>
      </c>
      <c r="H25" s="780">
        <v>6</v>
      </c>
      <c r="I25" s="779" t="s">
        <v>231</v>
      </c>
      <c r="J25" s="780">
        <v>5.3</v>
      </c>
      <c r="K25" s="780" t="s">
        <v>230</v>
      </c>
      <c r="L25" s="780" t="s">
        <v>239</v>
      </c>
      <c r="M25" s="780">
        <v>5</v>
      </c>
      <c r="N25" s="780">
        <v>7.1</v>
      </c>
      <c r="O25" s="779" t="s">
        <v>178</v>
      </c>
      <c r="P25" s="830">
        <v>6.8</v>
      </c>
      <c r="Q25" s="257"/>
      <c r="R25" s="110"/>
      <c r="S25" s="110"/>
      <c r="T25" s="110"/>
      <c r="U25" s="110"/>
      <c r="V25" s="110"/>
      <c r="W25" s="110"/>
      <c r="X25" s="110"/>
      <c r="Y25" s="110"/>
      <c r="Z25" s="110"/>
      <c r="AA25" s="110"/>
      <c r="AB25" s="110"/>
      <c r="AC25" s="110"/>
      <c r="AD25" s="110"/>
      <c r="AE25" s="110"/>
    </row>
    <row r="26" spans="1:31" s="178" customFormat="1" ht="17.25" customHeight="1" x14ac:dyDescent="0.25">
      <c r="A26" s="172" t="s">
        <v>314</v>
      </c>
      <c r="B26" s="145">
        <v>6.8416666666666659</v>
      </c>
      <c r="C26" s="145">
        <v>6.9800000000000013</v>
      </c>
      <c r="D26" s="782">
        <v>6.5</v>
      </c>
      <c r="E26" s="783">
        <v>7.9</v>
      </c>
      <c r="F26" s="784">
        <v>6.7</v>
      </c>
      <c r="G26" s="784">
        <v>6.6</v>
      </c>
      <c r="H26" s="784">
        <v>7.5</v>
      </c>
      <c r="I26" s="783">
        <v>8</v>
      </c>
      <c r="J26" s="785">
        <v>6.6</v>
      </c>
      <c r="K26" s="784">
        <v>6.4</v>
      </c>
      <c r="L26" s="784">
        <v>6.5</v>
      </c>
      <c r="M26" s="784">
        <v>6.9</v>
      </c>
      <c r="N26" s="784">
        <v>7.7</v>
      </c>
      <c r="O26" s="783">
        <v>8</v>
      </c>
      <c r="P26" s="831">
        <v>7.6</v>
      </c>
      <c r="Q26" s="257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</row>
    <row r="27" spans="1:31" s="69" customFormat="1" ht="9" customHeight="1" x14ac:dyDescent="0.25">
      <c r="A27" s="809"/>
      <c r="B27" s="806"/>
      <c r="C27" s="806"/>
      <c r="D27" s="807"/>
      <c r="E27" s="808"/>
      <c r="F27" s="808"/>
      <c r="G27" s="807"/>
      <c r="H27" s="808"/>
      <c r="I27" s="808"/>
      <c r="J27" s="808"/>
      <c r="K27" s="808"/>
      <c r="L27" s="808"/>
      <c r="M27" s="808"/>
      <c r="N27" s="808"/>
      <c r="O27" s="808"/>
      <c r="P27" s="832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  <c r="AE27" s="35"/>
    </row>
    <row r="28" spans="1:31" s="111" customFormat="1" ht="17.25" customHeight="1" x14ac:dyDescent="0.25">
      <c r="A28" s="148" t="s">
        <v>285</v>
      </c>
      <c r="B28" s="813"/>
      <c r="C28" s="814"/>
      <c r="D28" s="786">
        <v>2012</v>
      </c>
      <c r="E28" s="345">
        <v>2020</v>
      </c>
      <c r="F28" s="345">
        <v>2022</v>
      </c>
      <c r="G28" s="787">
        <v>2006</v>
      </c>
      <c r="H28" s="341">
        <v>2004</v>
      </c>
      <c r="I28" s="432">
        <v>2024</v>
      </c>
      <c r="J28" s="660">
        <v>2001</v>
      </c>
      <c r="K28" s="345">
        <v>2022</v>
      </c>
      <c r="L28" s="345">
        <v>2021</v>
      </c>
      <c r="M28" s="432">
        <v>2020</v>
      </c>
      <c r="N28" s="660">
        <v>2004</v>
      </c>
      <c r="O28" s="432">
        <v>2024</v>
      </c>
      <c r="P28" s="833">
        <v>2019</v>
      </c>
      <c r="Q28" s="110"/>
      <c r="R28" s="110"/>
      <c r="S28" s="110"/>
      <c r="T28" s="110"/>
      <c r="U28" s="110"/>
      <c r="V28" s="110"/>
      <c r="W28" s="110"/>
      <c r="X28" s="110"/>
      <c r="Y28" s="110"/>
      <c r="Z28" s="110"/>
      <c r="AA28" s="110"/>
      <c r="AB28" s="110"/>
      <c r="AC28" s="110"/>
      <c r="AD28" s="110"/>
      <c r="AE28" s="110"/>
    </row>
    <row r="29" spans="1:31" s="111" customFormat="1" ht="39" customHeight="1" x14ac:dyDescent="0.25">
      <c r="A29" s="148" t="s">
        <v>384</v>
      </c>
      <c r="B29" s="813"/>
      <c r="C29" s="814"/>
      <c r="D29" s="1199" t="s">
        <v>406</v>
      </c>
      <c r="E29" s="278" t="s">
        <v>372</v>
      </c>
      <c r="F29" s="1199" t="s">
        <v>381</v>
      </c>
      <c r="G29" s="1205" t="s">
        <v>388</v>
      </c>
      <c r="H29" s="1206" t="s">
        <v>389</v>
      </c>
      <c r="I29" s="278" t="s">
        <v>372</v>
      </c>
      <c r="J29" s="1206" t="s">
        <v>390</v>
      </c>
      <c r="K29" s="1207" t="s">
        <v>391</v>
      </c>
      <c r="L29" s="1199" t="s">
        <v>381</v>
      </c>
      <c r="M29" s="1199" t="s">
        <v>381</v>
      </c>
      <c r="N29" s="278" t="s">
        <v>372</v>
      </c>
      <c r="O29" s="278" t="s">
        <v>372</v>
      </c>
      <c r="P29" s="1208" t="s">
        <v>392</v>
      </c>
      <c r="Q29" s="110"/>
      <c r="R29" s="110"/>
      <c r="S29" s="110"/>
      <c r="T29" s="110"/>
      <c r="U29" s="110"/>
      <c r="V29" s="110"/>
      <c r="W29" s="110"/>
      <c r="X29" s="110"/>
      <c r="Y29" s="110"/>
      <c r="Z29" s="110"/>
      <c r="AA29" s="110"/>
      <c r="AB29" s="110"/>
      <c r="AC29" s="110"/>
      <c r="AD29" s="110"/>
      <c r="AE29" s="110"/>
    </row>
    <row r="30" spans="1:31" s="111" customFormat="1" ht="35" customHeight="1" x14ac:dyDescent="0.25">
      <c r="A30" s="148" t="s">
        <v>367</v>
      </c>
      <c r="B30" s="813"/>
      <c r="C30" s="814"/>
      <c r="D30" s="1199" t="s">
        <v>381</v>
      </c>
      <c r="E30" s="278" t="s">
        <v>377</v>
      </c>
      <c r="F30" s="1199" t="s">
        <v>381</v>
      </c>
      <c r="G30" s="1205" t="s">
        <v>376</v>
      </c>
      <c r="H30" s="1199" t="s">
        <v>374</v>
      </c>
      <c r="I30" s="278" t="s">
        <v>377</v>
      </c>
      <c r="J30" s="1199" t="s">
        <v>374</v>
      </c>
      <c r="K30" s="1205" t="s">
        <v>376</v>
      </c>
      <c r="L30" s="1199" t="s">
        <v>381</v>
      </c>
      <c r="M30" s="1199" t="s">
        <v>381</v>
      </c>
      <c r="N30" s="278" t="s">
        <v>396</v>
      </c>
      <c r="O30" s="278" t="s">
        <v>377</v>
      </c>
      <c r="P30" s="1208" t="s">
        <v>386</v>
      </c>
      <c r="Q30" s="110"/>
      <c r="R30" s="110"/>
      <c r="S30" s="110"/>
      <c r="T30" s="110"/>
      <c r="U30" s="110"/>
      <c r="V30" s="110"/>
      <c r="W30" s="110"/>
      <c r="X30" s="110"/>
      <c r="Y30" s="110"/>
      <c r="Z30" s="110"/>
      <c r="AA30" s="110"/>
      <c r="AB30" s="110"/>
      <c r="AC30" s="110"/>
      <c r="AD30" s="110"/>
      <c r="AE30" s="110"/>
    </row>
    <row r="31" spans="1:31" s="87" customFormat="1" ht="15.5" customHeight="1" x14ac:dyDescent="0.25">
      <c r="A31" s="152" t="s">
        <v>6</v>
      </c>
      <c r="B31" s="810"/>
      <c r="C31" s="810"/>
      <c r="D31" s="811"/>
      <c r="E31" s="812"/>
      <c r="F31" s="812"/>
      <c r="G31" s="812"/>
      <c r="H31" s="812"/>
      <c r="I31" s="812"/>
      <c r="J31" s="812"/>
      <c r="K31" s="812"/>
      <c r="L31" s="812"/>
      <c r="M31" s="812"/>
      <c r="N31" s="812"/>
      <c r="O31" s="812"/>
      <c r="P31" s="834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</row>
    <row r="32" spans="1:31" s="109" customFormat="1" ht="15.75" customHeight="1" x14ac:dyDescent="0.25">
      <c r="A32" s="1183" t="s">
        <v>306</v>
      </c>
      <c r="B32" s="815"/>
      <c r="C32" s="815"/>
      <c r="D32" s="788">
        <v>9</v>
      </c>
      <c r="E32" s="789">
        <v>4</v>
      </c>
      <c r="F32" s="789">
        <v>3</v>
      </c>
      <c r="G32" s="790">
        <v>14</v>
      </c>
      <c r="H32" s="791">
        <v>9</v>
      </c>
      <c r="I32" s="792" t="s">
        <v>5</v>
      </c>
      <c r="J32" s="791">
        <v>15</v>
      </c>
      <c r="K32" s="789">
        <v>3</v>
      </c>
      <c r="L32" s="789">
        <v>3</v>
      </c>
      <c r="M32" s="791">
        <v>4</v>
      </c>
      <c r="N32" s="789">
        <v>10</v>
      </c>
      <c r="O32" s="792" t="s">
        <v>5</v>
      </c>
      <c r="P32" s="835">
        <v>7</v>
      </c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</row>
    <row r="33" spans="1:31" s="89" customFormat="1" ht="15.75" customHeight="1" x14ac:dyDescent="0.25">
      <c r="A33" s="173" t="s">
        <v>19</v>
      </c>
      <c r="B33" s="816"/>
      <c r="C33" s="816"/>
      <c r="D33" s="1171">
        <v>10</v>
      </c>
      <c r="E33" s="850">
        <v>12</v>
      </c>
      <c r="F33" s="850">
        <v>9</v>
      </c>
      <c r="G33" s="1172">
        <v>26</v>
      </c>
      <c r="H33" s="857">
        <v>10</v>
      </c>
      <c r="I33" s="857">
        <v>5</v>
      </c>
      <c r="J33" s="857">
        <v>26</v>
      </c>
      <c r="K33" s="850">
        <v>9</v>
      </c>
      <c r="L33" s="850">
        <v>11</v>
      </c>
      <c r="M33" s="857">
        <v>12</v>
      </c>
      <c r="N33" s="850">
        <v>10</v>
      </c>
      <c r="O33" s="857">
        <v>5</v>
      </c>
      <c r="P33" s="836">
        <v>11</v>
      </c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</row>
    <row r="34" spans="1:31" s="89" customFormat="1" ht="15.75" customHeight="1" thickBot="1" x14ac:dyDescent="0.3">
      <c r="A34" s="169" t="s">
        <v>20</v>
      </c>
      <c r="B34" s="817"/>
      <c r="C34" s="817"/>
      <c r="D34" s="1173">
        <v>11</v>
      </c>
      <c r="E34" s="580">
        <v>11</v>
      </c>
      <c r="F34" s="580">
        <v>6</v>
      </c>
      <c r="G34" s="1174">
        <v>26</v>
      </c>
      <c r="H34" s="743">
        <v>10</v>
      </c>
      <c r="I34" s="666">
        <v>5</v>
      </c>
      <c r="J34" s="743">
        <v>28</v>
      </c>
      <c r="K34" s="580">
        <v>6</v>
      </c>
      <c r="L34" s="580">
        <v>8</v>
      </c>
      <c r="M34" s="743">
        <v>11</v>
      </c>
      <c r="N34" s="580">
        <v>10</v>
      </c>
      <c r="O34" s="666">
        <v>5</v>
      </c>
      <c r="P34" s="837">
        <v>12</v>
      </c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</row>
    <row r="35" spans="1:31" x14ac:dyDescent="0.25">
      <c r="A35" s="153"/>
      <c r="B35" s="154"/>
      <c r="C35" s="154"/>
      <c r="D35" s="604"/>
      <c r="E35" s="604"/>
      <c r="F35" s="154"/>
      <c r="G35" s="154"/>
      <c r="H35" s="604"/>
      <c r="I35" s="604"/>
      <c r="J35" s="154"/>
      <c r="K35" s="154"/>
      <c r="L35" s="154"/>
      <c r="M35" s="604"/>
      <c r="N35" s="604"/>
      <c r="O35" s="604"/>
      <c r="P35" s="386"/>
    </row>
    <row r="36" spans="1:31" x14ac:dyDescent="0.25">
      <c r="D36" s="606"/>
      <c r="E36" s="606"/>
      <c r="F36" s="268"/>
      <c r="G36" s="268"/>
      <c r="H36" s="606"/>
      <c r="I36" s="606"/>
      <c r="J36" s="268"/>
      <c r="K36" s="268"/>
      <c r="L36" s="268"/>
      <c r="M36" s="606"/>
      <c r="N36" s="606"/>
      <c r="O36" s="606"/>
      <c r="P36" s="581"/>
    </row>
    <row r="37" spans="1:31" x14ac:dyDescent="0.25">
      <c r="D37" s="606"/>
      <c r="E37" s="606"/>
      <c r="F37" s="268"/>
      <c r="G37" s="268"/>
      <c r="H37" s="606"/>
      <c r="I37" s="606"/>
      <c r="J37" s="268"/>
      <c r="K37" s="268"/>
      <c r="L37" s="268"/>
      <c r="M37" s="606"/>
      <c r="N37" s="606"/>
      <c r="O37" s="606"/>
      <c r="P37" s="581"/>
    </row>
    <row r="38" spans="1:31" x14ac:dyDescent="0.25">
      <c r="D38" s="606"/>
      <c r="E38" s="606"/>
      <c r="F38" s="268"/>
      <c r="G38" s="268"/>
      <c r="H38" s="606"/>
      <c r="I38" s="606"/>
      <c r="J38" s="268"/>
      <c r="K38" s="268"/>
      <c r="L38" s="268"/>
      <c r="M38" s="606"/>
      <c r="N38" s="606"/>
      <c r="O38" s="606"/>
      <c r="P38" s="581"/>
    </row>
  </sheetData>
  <phoneticPr fontId="6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9" scale="6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5">
    <pageSetUpPr fitToPage="1"/>
  </sheetPr>
  <dimension ref="A1:BY35"/>
  <sheetViews>
    <sheetView zoomScale="115" zoomScaleNormal="115" workbookViewId="0">
      <pane xSplit="8" ySplit="10" topLeftCell="I26" activePane="bottomRight" state="frozen"/>
      <selection pane="topRight" activeCell="I1" sqref="I1"/>
      <selection pane="bottomLeft" activeCell="A11" sqref="A11"/>
      <selection pane="bottomRight" activeCell="I29" sqref="I29"/>
    </sheetView>
  </sheetViews>
  <sheetFormatPr defaultColWidth="9.08984375" defaultRowHeight="12.5" x14ac:dyDescent="0.25"/>
  <cols>
    <col min="1" max="1" width="62" customWidth="1"/>
    <col min="2" max="2" width="10.81640625" style="43" customWidth="1"/>
    <col min="3" max="3" width="9.08984375" style="43" customWidth="1"/>
    <col min="4" max="4" width="9.26953125" style="605" customWidth="1"/>
    <col min="5" max="6" width="8.6328125" style="43" customWidth="1"/>
    <col min="7" max="8" width="9.26953125" style="605" customWidth="1"/>
    <col min="9" max="9" width="10" style="605" customWidth="1"/>
    <col min="10" max="12" width="9.26953125" style="43" customWidth="1"/>
  </cols>
  <sheetData>
    <row r="1" spans="1:77" s="31" customFormat="1" ht="14.5" thickBot="1" x14ac:dyDescent="0.35">
      <c r="A1" s="29" t="s">
        <v>315</v>
      </c>
      <c r="B1" s="30"/>
      <c r="C1" s="30"/>
      <c r="D1" s="607"/>
      <c r="E1" s="46"/>
      <c r="F1" s="46"/>
      <c r="G1" s="607"/>
      <c r="H1" s="607"/>
      <c r="I1" s="607"/>
      <c r="J1" s="46"/>
      <c r="K1" s="46"/>
      <c r="L1" s="46"/>
    </row>
    <row r="2" spans="1:77" ht="91.5" customHeight="1" x14ac:dyDescent="0.25">
      <c r="A2" s="147"/>
      <c r="B2" s="42" t="s">
        <v>86</v>
      </c>
      <c r="C2" s="68" t="s">
        <v>316</v>
      </c>
      <c r="D2" s="851" t="s">
        <v>92</v>
      </c>
      <c r="E2" s="749" t="s">
        <v>155</v>
      </c>
      <c r="F2" s="749" t="s">
        <v>95</v>
      </c>
      <c r="G2" s="750" t="s">
        <v>93</v>
      </c>
      <c r="H2" s="749" t="s">
        <v>154</v>
      </c>
      <c r="I2" s="749" t="s">
        <v>96</v>
      </c>
      <c r="J2" s="750" t="s">
        <v>97</v>
      </c>
      <c r="K2" s="750" t="s">
        <v>94</v>
      </c>
      <c r="L2" s="314" t="s">
        <v>98</v>
      </c>
    </row>
    <row r="3" spans="1:77" ht="27.75" customHeight="1" x14ac:dyDescent="0.25">
      <c r="A3" s="148" t="s">
        <v>18</v>
      </c>
      <c r="B3" s="870"/>
      <c r="C3" s="838"/>
      <c r="D3" s="348" t="s">
        <v>1</v>
      </c>
      <c r="E3" s="278" t="s">
        <v>3</v>
      </c>
      <c r="F3" s="278" t="s">
        <v>1</v>
      </c>
      <c r="G3" s="278" t="s">
        <v>1</v>
      </c>
      <c r="H3" s="278" t="s">
        <v>3</v>
      </c>
      <c r="I3" s="278" t="s">
        <v>4</v>
      </c>
      <c r="J3" s="278" t="s">
        <v>1</v>
      </c>
      <c r="K3" s="278" t="s">
        <v>1</v>
      </c>
      <c r="L3" s="455" t="s">
        <v>1</v>
      </c>
      <c r="O3" s="143"/>
      <c r="P3" s="143"/>
      <c r="Q3" s="143"/>
      <c r="R3" s="143"/>
      <c r="S3" s="143"/>
      <c r="T3" s="143"/>
      <c r="U3" s="143"/>
      <c r="V3" s="143"/>
      <c r="W3" s="143"/>
      <c r="X3" s="233"/>
      <c r="Y3" s="143"/>
      <c r="Z3" s="233"/>
    </row>
    <row r="4" spans="1:77" ht="21.75" customHeight="1" x14ac:dyDescent="0.25">
      <c r="A4" s="149" t="s">
        <v>7</v>
      </c>
      <c r="B4" s="871"/>
      <c r="C4" s="795"/>
      <c r="D4" s="1184">
        <v>141.24200000000002</v>
      </c>
      <c r="E4" s="1184">
        <v>141.40899999999999</v>
      </c>
      <c r="F4" s="1184">
        <v>141.49299999999999</v>
      </c>
      <c r="G4" s="1184">
        <v>141.93700000000001</v>
      </c>
      <c r="H4" s="1184">
        <v>142.09199999999998</v>
      </c>
      <c r="I4" s="1184">
        <v>142.82</v>
      </c>
      <c r="J4" s="1184">
        <v>143.23500000000001</v>
      </c>
      <c r="K4" s="1184">
        <v>143.351</v>
      </c>
      <c r="L4" s="1184">
        <v>144.102</v>
      </c>
    </row>
    <row r="5" spans="1:77" s="89" customFormat="1" ht="17.25" customHeight="1" x14ac:dyDescent="0.25">
      <c r="A5" s="112" t="s">
        <v>303</v>
      </c>
      <c r="B5" s="797"/>
      <c r="C5" s="797"/>
      <c r="D5" s="799"/>
      <c r="E5" s="799"/>
      <c r="F5" s="799"/>
      <c r="G5" s="799"/>
      <c r="H5" s="799"/>
      <c r="I5" s="799"/>
      <c r="J5" s="799"/>
      <c r="K5" s="799"/>
      <c r="L5" s="819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  <c r="BG5" s="13"/>
      <c r="BH5" s="13"/>
    </row>
    <row r="6" spans="1:77" s="89" customFormat="1" ht="17.25" customHeight="1" x14ac:dyDescent="0.25">
      <c r="A6" s="295" t="s">
        <v>236</v>
      </c>
      <c r="B6" s="175">
        <v>100</v>
      </c>
      <c r="C6" s="175">
        <v>99.936025035110788</v>
      </c>
      <c r="D6" s="59">
        <v>97.56528146637892</v>
      </c>
      <c r="E6" s="546">
        <v>104.39749100021785</v>
      </c>
      <c r="F6" s="59">
        <v>98.962888267481162</v>
      </c>
      <c r="G6" s="757">
        <v>100.84558309946082</v>
      </c>
      <c r="H6" s="546">
        <v>102.9868767443885</v>
      </c>
      <c r="I6" s="59">
        <v>101.11602269635796</v>
      </c>
      <c r="J6" s="59">
        <v>100.02506081633136</v>
      </c>
      <c r="K6" s="59">
        <v>100.30440382572981</v>
      </c>
      <c r="L6" s="719">
        <v>101.72400208877053</v>
      </c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</row>
    <row r="7" spans="1:77" s="89" customFormat="1" ht="17.25" customHeight="1" x14ac:dyDescent="0.25">
      <c r="A7" s="289" t="s">
        <v>237</v>
      </c>
      <c r="B7" s="163">
        <v>100</v>
      </c>
      <c r="C7" s="163">
        <v>99.75831190883406</v>
      </c>
      <c r="D7" s="60">
        <v>101.49945331339781</v>
      </c>
      <c r="E7" s="536">
        <v>92.639836899446877</v>
      </c>
      <c r="F7" s="60">
        <v>101.67409770176488</v>
      </c>
      <c r="G7" s="759">
        <v>96.964260347524544</v>
      </c>
      <c r="H7" s="536">
        <v>95.258872643729049</v>
      </c>
      <c r="I7" s="60">
        <v>96.037078676118568</v>
      </c>
      <c r="J7" s="60">
        <v>99.913543706489108</v>
      </c>
      <c r="K7" s="60">
        <v>99.349838657090856</v>
      </c>
      <c r="L7" s="699">
        <v>99.4411881834544</v>
      </c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</row>
    <row r="8" spans="1:77" s="89" customFormat="1" ht="17.25" customHeight="1" x14ac:dyDescent="0.25">
      <c r="A8" s="289" t="s">
        <v>238</v>
      </c>
      <c r="B8" s="163">
        <v>100</v>
      </c>
      <c r="C8" s="297">
        <v>99.827947445831157</v>
      </c>
      <c r="D8" s="60">
        <v>99.438696631626001</v>
      </c>
      <c r="E8" s="759">
        <v>97.342898539755268</v>
      </c>
      <c r="F8" s="536">
        <v>100.31849298462302</v>
      </c>
      <c r="G8" s="759">
        <v>98.802781651073303</v>
      </c>
      <c r="H8" s="759">
        <v>98.954874604913996</v>
      </c>
      <c r="I8" s="759">
        <v>98.466138859711322</v>
      </c>
      <c r="J8" s="759">
        <v>99.971726546406813</v>
      </c>
      <c r="K8" s="759">
        <v>99.827121241410325</v>
      </c>
      <c r="L8" s="862">
        <v>100.62825141421879</v>
      </c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</row>
    <row r="9" spans="1:77" s="89" customFormat="1" ht="28.5" customHeight="1" x14ac:dyDescent="0.25">
      <c r="A9" s="298" t="s">
        <v>333</v>
      </c>
      <c r="B9" s="101">
        <v>100</v>
      </c>
      <c r="C9" s="101">
        <v>100.93471950034426</v>
      </c>
      <c r="D9" s="539">
        <v>98.402617347883123</v>
      </c>
      <c r="E9" s="322">
        <v>101.72899535720464</v>
      </c>
      <c r="F9" s="539">
        <v>98.038728219498211</v>
      </c>
      <c r="G9" s="760">
        <v>102.80642048759896</v>
      </c>
      <c r="H9" s="322">
        <v>101.35050721361547</v>
      </c>
      <c r="I9" s="539">
        <v>100.6735865096223</v>
      </c>
      <c r="J9" s="539">
        <v>100.31086686619538</v>
      </c>
      <c r="K9" s="539">
        <v>102.36286214785528</v>
      </c>
      <c r="L9" s="722">
        <v>103.13880448118147</v>
      </c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BE9" s="13"/>
      <c r="BF9" s="13"/>
      <c r="BG9" s="13"/>
      <c r="BH9" s="13"/>
    </row>
    <row r="10" spans="1:77" s="89" customFormat="1" ht="17.25" customHeight="1" x14ac:dyDescent="0.25">
      <c r="A10" s="289" t="s">
        <v>304</v>
      </c>
      <c r="B10" s="163">
        <v>100</v>
      </c>
      <c r="C10" s="163">
        <v>104.23293826746399</v>
      </c>
      <c r="D10" s="761">
        <v>113.09908252883463</v>
      </c>
      <c r="E10" s="761">
        <v>119.95338716995867</v>
      </c>
      <c r="F10" s="761">
        <v>108.17805675046799</v>
      </c>
      <c r="G10" s="761">
        <v>99.438836087247594</v>
      </c>
      <c r="H10" s="761">
        <v>109.51347043223501</v>
      </c>
      <c r="I10" s="761">
        <v>110.59221999704666</v>
      </c>
      <c r="J10" s="761">
        <v>108.14189681781056</v>
      </c>
      <c r="K10" s="761">
        <v>107.93961891923652</v>
      </c>
      <c r="L10" s="823">
        <v>96.879116669443192</v>
      </c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</row>
    <row r="11" spans="1:77" s="113" customFormat="1" ht="18" customHeight="1" x14ac:dyDescent="0.25">
      <c r="A11" s="373" t="s">
        <v>305</v>
      </c>
      <c r="B11" s="800"/>
      <c r="C11" s="800"/>
      <c r="D11" s="799"/>
      <c r="E11" s="799"/>
      <c r="F11" s="799"/>
      <c r="G11" s="799"/>
      <c r="H11" s="799"/>
      <c r="I11" s="799"/>
      <c r="J11" s="799"/>
      <c r="K11" s="799"/>
      <c r="L11" s="819"/>
      <c r="M11" s="110"/>
      <c r="N11" s="110"/>
      <c r="O11" s="181"/>
      <c r="P11" s="181"/>
      <c r="Q11" s="110"/>
      <c r="R11" s="110"/>
      <c r="S11" s="110"/>
      <c r="T11" s="110"/>
      <c r="U11" s="110"/>
      <c r="V11" s="110"/>
      <c r="W11" s="110"/>
      <c r="X11" s="110"/>
      <c r="Y11" s="110"/>
      <c r="Z11" s="110"/>
      <c r="AA11" s="110"/>
      <c r="AB11" s="110"/>
      <c r="AC11" s="110"/>
      <c r="AD11" s="110"/>
      <c r="AE11" s="110"/>
      <c r="AF11" s="110"/>
      <c r="AG11" s="110"/>
      <c r="AH11" s="110"/>
      <c r="AI11" s="110"/>
      <c r="AJ11" s="110"/>
      <c r="AK11" s="110"/>
      <c r="AL11" s="110"/>
      <c r="AM11" s="110"/>
      <c r="AN11" s="110"/>
      <c r="AO11" s="110"/>
      <c r="AP11" s="110"/>
      <c r="AQ11" s="110"/>
      <c r="AR11" s="110"/>
      <c r="AS11" s="110"/>
      <c r="AT11" s="110"/>
      <c r="AU11" s="110"/>
      <c r="AV11" s="110"/>
      <c r="AW11" s="110"/>
      <c r="AX11" s="110"/>
      <c r="AY11" s="110"/>
      <c r="AZ11" s="110"/>
      <c r="BA11" s="110"/>
      <c r="BB11" s="110"/>
      <c r="BC11" s="110"/>
      <c r="BD11" s="110"/>
      <c r="BE11" s="110"/>
      <c r="BF11" s="110"/>
      <c r="BG11" s="110"/>
      <c r="BH11" s="110"/>
      <c r="BI11" s="110"/>
      <c r="BJ11" s="110"/>
      <c r="BK11" s="110"/>
      <c r="BL11" s="110"/>
      <c r="BM11" s="110"/>
      <c r="BN11" s="110"/>
      <c r="BO11" s="110"/>
      <c r="BP11" s="110"/>
      <c r="BQ11" s="110"/>
      <c r="BR11" s="110"/>
      <c r="BS11" s="110"/>
      <c r="BT11" s="110"/>
      <c r="BU11" s="110"/>
      <c r="BV11" s="110"/>
      <c r="BW11" s="110"/>
      <c r="BX11" s="110"/>
      <c r="BY11" s="110"/>
    </row>
    <row r="12" spans="1:77" s="89" customFormat="1" ht="17.25" customHeight="1" x14ac:dyDescent="0.25">
      <c r="A12" s="294" t="s">
        <v>251</v>
      </c>
      <c r="B12" s="175">
        <v>100</v>
      </c>
      <c r="C12" s="175">
        <v>98.64848065978822</v>
      </c>
      <c r="D12" s="59">
        <v>97.779547478321973</v>
      </c>
      <c r="E12" s="546">
        <v>113.18493661440446</v>
      </c>
      <c r="F12" s="59">
        <v>100.37631637133174</v>
      </c>
      <c r="G12" s="756">
        <v>98.432994616998116</v>
      </c>
      <c r="H12" s="546">
        <v>105.19723344095458</v>
      </c>
      <c r="I12" s="546">
        <v>104.40096584023563</v>
      </c>
      <c r="J12" s="59">
        <v>105.92328540344948</v>
      </c>
      <c r="K12" s="59">
        <v>102.24801343057906</v>
      </c>
      <c r="L12" s="719">
        <v>89.279977460983204</v>
      </c>
      <c r="M12" s="13"/>
      <c r="N12" s="13"/>
      <c r="O12" s="181"/>
      <c r="P12" s="181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  <c r="BC12" s="13"/>
      <c r="BD12" s="13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  <c r="BW12" s="13"/>
      <c r="BX12" s="13"/>
      <c r="BY12" s="13"/>
    </row>
    <row r="13" spans="1:77" s="89" customFormat="1" ht="17.25" customHeight="1" x14ac:dyDescent="0.25">
      <c r="A13" s="290" t="s">
        <v>234</v>
      </c>
      <c r="B13" s="163">
        <v>100</v>
      </c>
      <c r="C13" s="163">
        <v>101.48435373168616</v>
      </c>
      <c r="D13" s="60">
        <v>102.35982141641331</v>
      </c>
      <c r="E13" s="536">
        <v>98.116953398763258</v>
      </c>
      <c r="F13" s="60">
        <v>101.36147974094435</v>
      </c>
      <c r="G13" s="758">
        <v>102.96094140342566</v>
      </c>
      <c r="H13" s="536">
        <v>98.048331582628833</v>
      </c>
      <c r="I13" s="536">
        <v>102.34821246229765</v>
      </c>
      <c r="J13" s="60">
        <v>99.382031433278627</v>
      </c>
      <c r="K13" s="60">
        <v>103.4083228843288</v>
      </c>
      <c r="L13" s="699">
        <v>102.88093529067625</v>
      </c>
      <c r="M13" s="13"/>
      <c r="N13" s="13"/>
      <c r="O13" s="181"/>
      <c r="P13" s="181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  <c r="BM13" s="13"/>
      <c r="BN13" s="13"/>
      <c r="BO13" s="13"/>
      <c r="BP13" s="13"/>
      <c r="BQ13" s="13"/>
      <c r="BR13" s="13"/>
      <c r="BS13" s="13"/>
      <c r="BT13" s="13"/>
      <c r="BU13" s="13"/>
      <c r="BV13" s="13"/>
      <c r="BW13" s="13"/>
      <c r="BX13" s="13"/>
      <c r="BY13" s="13"/>
    </row>
    <row r="14" spans="1:77" s="168" customFormat="1" ht="17.25" customHeight="1" x14ac:dyDescent="0.25">
      <c r="A14" s="582" t="s">
        <v>307</v>
      </c>
      <c r="B14" s="166">
        <f>65+6.85164816901039</f>
        <v>71.851648169010389</v>
      </c>
      <c r="C14" s="166">
        <f>65+7.04457558811319</f>
        <v>72.04457558811319</v>
      </c>
      <c r="D14" s="709">
        <f>65+5.82509214325812</f>
        <v>70.825092143258118</v>
      </c>
      <c r="E14" s="709">
        <f>65+7.60687104645307</f>
        <v>72.606871046453065</v>
      </c>
      <c r="F14" s="713">
        <f>65+5.83409214325808</f>
        <v>70.834092143258076</v>
      </c>
      <c r="G14" s="709">
        <f>65+6.47842583379021</f>
        <v>71.478425833790212</v>
      </c>
      <c r="H14" s="713">
        <f>65+7.31031781607538</f>
        <v>72.310317816075383</v>
      </c>
      <c r="I14" s="713">
        <f>65+6.59464957954202</f>
        <v>71.594649579542022</v>
      </c>
      <c r="J14" s="747">
        <f>65+8.19868819925942</f>
        <v>73.198688199259422</v>
      </c>
      <c r="K14" s="747">
        <f>65+7.1930921432581</f>
        <v>72.193092143258099</v>
      </c>
      <c r="L14" s="863">
        <f>65+7.50269650105021</f>
        <v>72.50269650105021</v>
      </c>
      <c r="M14" s="167"/>
      <c r="N14" s="13"/>
      <c r="O14" s="182"/>
      <c r="P14" s="233"/>
      <c r="Q14" s="167"/>
      <c r="R14" s="167"/>
      <c r="S14" s="167"/>
      <c r="T14" s="167"/>
      <c r="U14" s="167"/>
      <c r="V14" s="167"/>
      <c r="W14" s="167"/>
      <c r="X14" s="167"/>
      <c r="Y14" s="167"/>
      <c r="Z14" s="167"/>
      <c r="AA14" s="167"/>
      <c r="AB14" s="167"/>
      <c r="AC14" s="167"/>
      <c r="AD14" s="167"/>
      <c r="AE14" s="167"/>
      <c r="AF14" s="167"/>
      <c r="AG14" s="167"/>
      <c r="AH14" s="167"/>
      <c r="AI14" s="167"/>
      <c r="AJ14" s="167"/>
      <c r="AK14" s="167"/>
      <c r="AL14" s="167"/>
      <c r="AM14" s="167"/>
      <c r="AN14" s="167"/>
      <c r="AO14" s="167"/>
      <c r="AP14" s="167"/>
      <c r="AQ14" s="167"/>
      <c r="AR14" s="167"/>
      <c r="AS14" s="167"/>
      <c r="AT14" s="167"/>
      <c r="AU14" s="167"/>
      <c r="AV14" s="167"/>
      <c r="AW14" s="167"/>
      <c r="AX14" s="167"/>
      <c r="AY14" s="167"/>
      <c r="AZ14" s="167"/>
      <c r="BA14" s="167"/>
      <c r="BB14" s="167"/>
      <c r="BC14" s="167"/>
      <c r="BD14" s="167"/>
      <c r="BE14" s="167"/>
      <c r="BF14" s="167"/>
      <c r="BG14" s="167"/>
      <c r="BH14" s="167"/>
      <c r="BI14" s="167"/>
      <c r="BJ14" s="167"/>
      <c r="BK14" s="167"/>
      <c r="BL14" s="167"/>
    </row>
    <row r="15" spans="1:77" s="89" customFormat="1" ht="17.25" customHeight="1" x14ac:dyDescent="0.25">
      <c r="A15" s="290" t="s">
        <v>235</v>
      </c>
      <c r="B15" s="163">
        <v>100</v>
      </c>
      <c r="C15" s="163">
        <v>99.71208313547352</v>
      </c>
      <c r="D15" s="536">
        <v>95.455915535541607</v>
      </c>
      <c r="E15" s="536">
        <v>106.41630179658353</v>
      </c>
      <c r="F15" s="693">
        <v>95.505698741072408</v>
      </c>
      <c r="G15" s="536">
        <v>104.55028989294163</v>
      </c>
      <c r="H15" s="693">
        <v>106.02939287076566</v>
      </c>
      <c r="I15" s="693">
        <v>97.72804342555996</v>
      </c>
      <c r="J15" s="60">
        <v>97.731031359242991</v>
      </c>
      <c r="K15" s="60">
        <v>99.229482514779605</v>
      </c>
      <c r="L15" s="696">
        <v>103.79152884350474</v>
      </c>
      <c r="M15" s="13"/>
      <c r="N15" s="13"/>
      <c r="O15" s="13"/>
      <c r="P15" s="14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3"/>
      <c r="BE15" s="13"/>
      <c r="BF15" s="13"/>
      <c r="BG15" s="13"/>
      <c r="BH15" s="13"/>
      <c r="BI15" s="13"/>
      <c r="BJ15" s="13"/>
      <c r="BK15" s="13"/>
      <c r="BL15" s="13"/>
    </row>
    <row r="16" spans="1:77" s="168" customFormat="1" ht="17.25" customHeight="1" x14ac:dyDescent="0.25">
      <c r="A16" s="1133" t="s">
        <v>308</v>
      </c>
      <c r="B16" s="166">
        <f>65+-0.323728488841908</f>
        <v>64.676271511158092</v>
      </c>
      <c r="C16" s="166">
        <f>65+-0.13028517261246</f>
        <v>64.86971482738754</v>
      </c>
      <c r="D16" s="709">
        <f>65+-0.135192920241721</f>
        <v>64.864807079758279</v>
      </c>
      <c r="E16" s="709">
        <f>65+-0.490860293778184</f>
        <v>64.509139706221816</v>
      </c>
      <c r="F16" s="713">
        <f>65+-0.675923833385013</f>
        <v>64.324076166614987</v>
      </c>
      <c r="G16" s="709">
        <f>65+-1.08903354573238</f>
        <v>63.910966454267623</v>
      </c>
      <c r="H16" s="713">
        <f>65+-0.530640461031098</f>
        <v>64.469359538968902</v>
      </c>
      <c r="I16" s="713">
        <f>65+-0.136046365622448</f>
        <v>64.863953634377552</v>
      </c>
      <c r="J16" s="747">
        <f>65+0.390382360054332</f>
        <v>65.390382360054332</v>
      </c>
      <c r="K16" s="747">
        <f>65+0.623695968647169</f>
        <v>65.623695968647169</v>
      </c>
      <c r="L16" s="863">
        <f>65+-0.984433570414325</f>
        <v>64.015566429585675</v>
      </c>
      <c r="M16" s="167"/>
      <c r="N16" s="13"/>
      <c r="O16" s="434"/>
      <c r="P16" s="233"/>
      <c r="Q16" s="167"/>
      <c r="R16" s="167"/>
      <c r="S16" s="167"/>
      <c r="T16" s="167"/>
      <c r="U16" s="167"/>
      <c r="V16" s="167"/>
      <c r="W16" s="167"/>
      <c r="X16" s="167"/>
      <c r="Y16" s="167"/>
      <c r="Z16" s="167"/>
      <c r="AA16" s="167"/>
      <c r="AB16" s="167"/>
      <c r="AC16" s="167"/>
      <c r="AD16" s="167"/>
      <c r="AE16" s="167"/>
      <c r="AF16" s="167"/>
      <c r="AG16" s="167"/>
      <c r="AH16" s="167"/>
      <c r="AI16" s="167"/>
      <c r="AJ16" s="167"/>
      <c r="AK16" s="167"/>
      <c r="AL16" s="167"/>
      <c r="AM16" s="167"/>
      <c r="AN16" s="167"/>
      <c r="AO16" s="167"/>
      <c r="AP16" s="167"/>
      <c r="AQ16" s="167"/>
      <c r="AR16" s="167"/>
      <c r="AS16" s="167"/>
      <c r="AT16" s="167"/>
      <c r="AU16" s="167"/>
      <c r="AV16" s="167"/>
      <c r="AW16" s="167"/>
      <c r="AX16" s="167"/>
      <c r="AY16" s="167"/>
      <c r="AZ16" s="167"/>
      <c r="BA16" s="167"/>
      <c r="BB16" s="167"/>
      <c r="BC16" s="167"/>
      <c r="BD16" s="167"/>
      <c r="BE16" s="167"/>
      <c r="BF16" s="167"/>
      <c r="BG16" s="167"/>
      <c r="BH16" s="167"/>
      <c r="BI16" s="167"/>
      <c r="BJ16" s="167"/>
      <c r="BK16" s="167"/>
      <c r="BL16" s="167"/>
    </row>
    <row r="17" spans="1:64" s="89" customFormat="1" ht="17.25" customHeight="1" x14ac:dyDescent="0.25">
      <c r="A17" s="296" t="s">
        <v>309</v>
      </c>
      <c r="B17" s="176">
        <v>100</v>
      </c>
      <c r="C17" s="176">
        <v>98.689462897404653</v>
      </c>
      <c r="D17" s="728">
        <v>93.389815826933614</v>
      </c>
      <c r="E17" s="728">
        <v>107.63823411375773</v>
      </c>
      <c r="F17" s="849">
        <v>98.308937259772151</v>
      </c>
      <c r="G17" s="728">
        <v>96.317776961508144</v>
      </c>
      <c r="H17" s="849">
        <v>105.72467130338865</v>
      </c>
      <c r="I17" s="849">
        <v>100.92589264267185</v>
      </c>
      <c r="J17" s="765">
        <v>100.59977462896863</v>
      </c>
      <c r="K17" s="765">
        <v>96.75102073314082</v>
      </c>
      <c r="L17" s="864">
        <v>102.73906425991781</v>
      </c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  <c r="BA17" s="13"/>
      <c r="BB17" s="13"/>
      <c r="BC17" s="13"/>
      <c r="BD17" s="13"/>
      <c r="BE17" s="13"/>
      <c r="BF17" s="13"/>
      <c r="BG17" s="13"/>
      <c r="BH17" s="13"/>
      <c r="BI17" s="13"/>
      <c r="BJ17" s="13"/>
      <c r="BK17" s="13"/>
      <c r="BL17" s="13"/>
    </row>
    <row r="18" spans="1:64" s="87" customFormat="1" ht="18" customHeight="1" x14ac:dyDescent="0.25">
      <c r="A18" s="150" t="s">
        <v>11</v>
      </c>
      <c r="B18" s="802"/>
      <c r="C18" s="802"/>
      <c r="D18" s="799"/>
      <c r="E18" s="799"/>
      <c r="F18" s="799"/>
      <c r="G18" s="799"/>
      <c r="H18" s="799"/>
      <c r="I18" s="799"/>
      <c r="J18" s="799"/>
      <c r="K18" s="799"/>
      <c r="L18" s="819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3"/>
      <c r="AT18" s="13"/>
      <c r="AU18" s="13"/>
      <c r="AV18" s="13"/>
      <c r="AW18" s="13"/>
      <c r="AX18" s="13"/>
      <c r="AY18" s="13"/>
      <c r="AZ18" s="13"/>
      <c r="BA18" s="13"/>
      <c r="BB18" s="13"/>
      <c r="BC18" s="13"/>
      <c r="BD18" s="13"/>
      <c r="BE18" s="13"/>
      <c r="BF18" s="13"/>
      <c r="BG18" s="13"/>
      <c r="BH18" s="13"/>
      <c r="BI18" s="13"/>
      <c r="BJ18" s="13"/>
      <c r="BK18" s="13"/>
      <c r="BL18" s="13"/>
    </row>
    <row r="19" spans="1:64" s="88" customFormat="1" ht="17.25" customHeight="1" x14ac:dyDescent="0.25">
      <c r="A19" s="1181" t="s">
        <v>293</v>
      </c>
      <c r="B19" s="165">
        <v>59.038339880000002</v>
      </c>
      <c r="C19" s="165">
        <v>57.204759099173351</v>
      </c>
      <c r="D19" s="769">
        <v>57.871559004816703</v>
      </c>
      <c r="E19" s="735">
        <v>57.149027348439937</v>
      </c>
      <c r="F19" s="735">
        <v>57.555659004816718</v>
      </c>
      <c r="G19" s="735">
        <v>56.93143727220918</v>
      </c>
      <c r="H19" s="735">
        <v>58.577799307560191</v>
      </c>
      <c r="I19" s="735">
        <v>60.782315763920671</v>
      </c>
      <c r="J19" s="768">
        <v>58.730609683548259</v>
      </c>
      <c r="K19" s="768">
        <v>58.444059004816715</v>
      </c>
      <c r="L19" s="826">
        <v>58.185606484564545</v>
      </c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  <c r="BB19" s="13"/>
      <c r="BC19" s="13"/>
      <c r="BD19" s="13"/>
      <c r="BE19" s="13"/>
      <c r="BF19" s="13"/>
      <c r="BG19" s="13"/>
      <c r="BH19" s="13"/>
      <c r="BI19" s="13"/>
      <c r="BJ19" s="13"/>
      <c r="BK19" s="13"/>
      <c r="BL19" s="13"/>
    </row>
    <row r="20" spans="1:64" s="89" customFormat="1" ht="17.25" customHeight="1" x14ac:dyDescent="0.25">
      <c r="A20" s="1182" t="s">
        <v>294</v>
      </c>
      <c r="B20" s="101">
        <v>51.239842369999998</v>
      </c>
      <c r="C20" s="101">
        <v>49.728937174846429</v>
      </c>
      <c r="D20" s="760">
        <v>52.189433941730833</v>
      </c>
      <c r="E20" s="322">
        <v>42.279118806046917</v>
      </c>
      <c r="F20" s="322">
        <v>52.249767624077258</v>
      </c>
      <c r="G20" s="322">
        <v>48.078906060348487</v>
      </c>
      <c r="H20" s="322">
        <v>44.548762774885958</v>
      </c>
      <c r="I20" s="322">
        <v>47.009944596129607</v>
      </c>
      <c r="J20" s="539">
        <v>51.077170315730378</v>
      </c>
      <c r="K20" s="539">
        <v>50.64806762407725</v>
      </c>
      <c r="L20" s="822">
        <v>45.697212505374274</v>
      </c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  <c r="AP20" s="13"/>
      <c r="AQ20" s="13"/>
      <c r="AR20" s="13"/>
      <c r="AS20" s="13"/>
      <c r="AT20" s="13"/>
      <c r="AU20" s="13"/>
      <c r="AV20" s="13"/>
      <c r="AW20" s="13"/>
      <c r="AX20" s="13"/>
      <c r="AY20" s="13"/>
      <c r="AZ20" s="13"/>
      <c r="BA20" s="13"/>
      <c r="BB20" s="13"/>
      <c r="BC20" s="13"/>
      <c r="BD20" s="13"/>
      <c r="BE20" s="13"/>
      <c r="BF20" s="13"/>
      <c r="BG20" s="13"/>
      <c r="BH20" s="13"/>
      <c r="BI20" s="13"/>
      <c r="BJ20" s="13"/>
      <c r="BK20" s="13"/>
      <c r="BL20" s="13"/>
    </row>
    <row r="21" spans="1:64" s="180" customFormat="1" ht="17.25" customHeight="1" x14ac:dyDescent="0.25">
      <c r="A21" s="375" t="s">
        <v>310</v>
      </c>
      <c r="B21" s="170">
        <v>7.4096325690000002</v>
      </c>
      <c r="C21" s="170">
        <v>7.4378372520864238</v>
      </c>
      <c r="D21" s="852">
        <v>7.7045595182078506</v>
      </c>
      <c r="E21" s="845" t="s">
        <v>181</v>
      </c>
      <c r="F21" s="846">
        <v>7.3228488192306385</v>
      </c>
      <c r="G21" s="845">
        <v>7.4848848612020582</v>
      </c>
      <c r="H21" s="846" t="s">
        <v>179</v>
      </c>
      <c r="I21" s="846" t="s">
        <v>152</v>
      </c>
      <c r="J21" s="847">
        <v>7.6388889344518791</v>
      </c>
      <c r="K21" s="847">
        <v>7.338861585194552</v>
      </c>
      <c r="L21" s="865">
        <v>7.441382855243809</v>
      </c>
      <c r="M21" s="13"/>
      <c r="N21" s="142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  <c r="AU21" s="13"/>
      <c r="AV21" s="13"/>
      <c r="AW21" s="13"/>
      <c r="AX21" s="13"/>
      <c r="AY21" s="13"/>
      <c r="AZ21" s="13"/>
      <c r="BA21" s="13"/>
      <c r="BB21" s="13"/>
      <c r="BC21" s="13"/>
      <c r="BD21" s="13"/>
      <c r="BE21" s="13"/>
      <c r="BF21" s="13"/>
      <c r="BG21" s="13"/>
      <c r="BH21" s="13"/>
      <c r="BI21" s="13"/>
      <c r="BJ21" s="13"/>
      <c r="BK21" s="13"/>
      <c r="BL21" s="13"/>
    </row>
    <row r="22" spans="1:64" s="87" customFormat="1" ht="18" customHeight="1" x14ac:dyDescent="0.25">
      <c r="A22" s="151" t="s">
        <v>12</v>
      </c>
      <c r="B22" s="804"/>
      <c r="C22" s="804"/>
      <c r="D22" s="799"/>
      <c r="E22" s="805"/>
      <c r="F22" s="805"/>
      <c r="G22" s="805"/>
      <c r="H22" s="805"/>
      <c r="I22" s="805"/>
      <c r="J22" s="805"/>
      <c r="K22" s="805"/>
      <c r="L22" s="828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  <c r="AU22" s="13"/>
      <c r="AV22" s="13"/>
      <c r="AW22" s="13"/>
      <c r="AX22" s="13"/>
      <c r="AY22" s="13"/>
      <c r="AZ22" s="13"/>
      <c r="BA22" s="13"/>
      <c r="BB22" s="13"/>
      <c r="BC22" s="13"/>
      <c r="BD22" s="13"/>
      <c r="BE22" s="13"/>
      <c r="BF22" s="13"/>
      <c r="BG22" s="13"/>
      <c r="BH22" s="13"/>
      <c r="BI22" s="13"/>
      <c r="BJ22" s="13"/>
      <c r="BK22" s="13"/>
      <c r="BL22" s="13"/>
    </row>
    <row r="23" spans="1:64" s="89" customFormat="1" ht="15.75" customHeight="1" x14ac:dyDescent="0.25">
      <c r="A23" s="171" t="s">
        <v>311</v>
      </c>
      <c r="B23" s="145">
        <v>4.7863636363636353</v>
      </c>
      <c r="C23" s="145">
        <v>5.166666666666667</v>
      </c>
      <c r="D23" s="853">
        <v>5.95</v>
      </c>
      <c r="E23" s="781" t="s">
        <v>5</v>
      </c>
      <c r="F23" s="781">
        <v>4.4000000000000004</v>
      </c>
      <c r="G23" s="781">
        <v>5.2</v>
      </c>
      <c r="H23" s="780" t="s">
        <v>5</v>
      </c>
      <c r="I23" s="780" t="s">
        <v>5</v>
      </c>
      <c r="J23" s="779" t="s">
        <v>70</v>
      </c>
      <c r="K23" s="779">
        <v>4.05</v>
      </c>
      <c r="L23" s="866" t="s">
        <v>5</v>
      </c>
      <c r="M23" s="13"/>
      <c r="N23" s="181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/>
      <c r="AU23" s="13"/>
      <c r="AV23" s="13"/>
      <c r="AW23" s="13"/>
      <c r="AX23" s="13"/>
      <c r="AY23" s="13"/>
      <c r="AZ23" s="13"/>
      <c r="BA23" s="13"/>
      <c r="BB23" s="13"/>
      <c r="BC23" s="13"/>
      <c r="BD23" s="13"/>
      <c r="BE23" s="13"/>
      <c r="BF23" s="13"/>
      <c r="BG23" s="13"/>
      <c r="BH23" s="13"/>
      <c r="BI23" s="13"/>
      <c r="BJ23" s="13"/>
      <c r="BK23" s="13"/>
      <c r="BL23" s="13"/>
    </row>
    <row r="24" spans="1:64" s="89" customFormat="1" ht="15.75" customHeight="1" x14ac:dyDescent="0.25">
      <c r="A24" s="171" t="s">
        <v>312</v>
      </c>
      <c r="B24" s="145">
        <v>6.6916666666666664</v>
      </c>
      <c r="C24" s="145">
        <v>6.5428571428571436</v>
      </c>
      <c r="D24" s="853">
        <v>6.7</v>
      </c>
      <c r="E24" s="780" t="s">
        <v>232</v>
      </c>
      <c r="F24" s="780">
        <v>6.4</v>
      </c>
      <c r="G24" s="780">
        <v>6.6</v>
      </c>
      <c r="H24" s="780">
        <v>6.9</v>
      </c>
      <c r="I24" s="780">
        <v>6.8</v>
      </c>
      <c r="J24" s="779">
        <v>6.5</v>
      </c>
      <c r="K24" s="779">
        <v>6.2</v>
      </c>
      <c r="L24" s="866">
        <v>6.5</v>
      </c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  <c r="AP24" s="13"/>
      <c r="AQ24" s="13"/>
      <c r="AR24" s="13"/>
      <c r="AS24" s="13"/>
      <c r="AT24" s="13"/>
      <c r="AU24" s="13"/>
      <c r="AV24" s="13"/>
      <c r="AW24" s="13"/>
      <c r="AX24" s="13"/>
      <c r="AY24" s="13"/>
      <c r="AZ24" s="13"/>
      <c r="BA24" s="13"/>
      <c r="BB24" s="13"/>
      <c r="BC24" s="13"/>
      <c r="BD24" s="13"/>
      <c r="BE24" s="13"/>
      <c r="BF24" s="13"/>
      <c r="BG24" s="13"/>
      <c r="BH24" s="13"/>
      <c r="BI24" s="13"/>
      <c r="BJ24" s="13"/>
      <c r="BK24" s="13"/>
      <c r="BL24" s="13"/>
    </row>
    <row r="25" spans="1:64" s="13" customFormat="1" ht="15.75" customHeight="1" x14ac:dyDescent="0.25">
      <c r="A25" s="172" t="s">
        <v>313</v>
      </c>
      <c r="B25" s="145">
        <v>6.3333333333333321</v>
      </c>
      <c r="C25" s="145">
        <v>6.4857142857142858</v>
      </c>
      <c r="D25" s="854">
        <v>6.3</v>
      </c>
      <c r="E25" s="784" t="s">
        <v>167</v>
      </c>
      <c r="F25" s="784">
        <v>6.9</v>
      </c>
      <c r="G25" s="784">
        <v>7</v>
      </c>
      <c r="H25" s="784">
        <v>5.8</v>
      </c>
      <c r="I25" s="784">
        <v>6.7</v>
      </c>
      <c r="J25" s="783">
        <v>7.1</v>
      </c>
      <c r="K25" s="783">
        <v>6.4</v>
      </c>
      <c r="L25" s="867">
        <v>5</v>
      </c>
    </row>
    <row r="26" spans="1:64" s="89" customFormat="1" ht="15.75" customHeight="1" x14ac:dyDescent="0.25">
      <c r="A26" s="172" t="s">
        <v>314</v>
      </c>
      <c r="B26" s="145">
        <v>6.8416666666666659</v>
      </c>
      <c r="C26" s="145">
        <v>6.742857142857142</v>
      </c>
      <c r="D26" s="855">
        <v>7.5</v>
      </c>
      <c r="E26" s="846">
        <v>7.5</v>
      </c>
      <c r="F26" s="846">
        <v>7.4</v>
      </c>
      <c r="G26" s="780">
        <v>5.6</v>
      </c>
      <c r="H26" s="783">
        <v>7.7</v>
      </c>
      <c r="I26" s="783">
        <v>7.4</v>
      </c>
      <c r="J26" s="783">
        <v>7.3</v>
      </c>
      <c r="K26" s="784">
        <v>7.5</v>
      </c>
      <c r="L26" s="867">
        <v>7.3</v>
      </c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  <c r="BB26" s="13"/>
      <c r="BC26" s="13"/>
      <c r="BD26" s="13"/>
      <c r="BE26" s="13"/>
      <c r="BF26" s="13"/>
      <c r="BG26" s="13"/>
      <c r="BH26" s="13"/>
      <c r="BI26" s="13"/>
      <c r="BJ26" s="13"/>
      <c r="BK26" s="13"/>
      <c r="BL26" s="13"/>
    </row>
    <row r="27" spans="1:64" ht="9" customHeight="1" x14ac:dyDescent="0.25">
      <c r="A27" s="858"/>
      <c r="B27" s="859"/>
      <c r="C27" s="860"/>
      <c r="D27" s="861"/>
      <c r="E27" s="861"/>
      <c r="F27" s="861"/>
      <c r="G27" s="861"/>
      <c r="H27" s="861"/>
      <c r="I27" s="861"/>
      <c r="J27" s="861"/>
      <c r="K27" s="861"/>
      <c r="L27" s="868"/>
    </row>
    <row r="28" spans="1:64" s="87" customFormat="1" ht="17.25" customHeight="1" x14ac:dyDescent="0.25">
      <c r="A28" s="148" t="s">
        <v>285</v>
      </c>
      <c r="B28" s="872"/>
      <c r="C28" s="814"/>
      <c r="D28" s="856">
        <v>2012</v>
      </c>
      <c r="E28" s="345">
        <v>2022</v>
      </c>
      <c r="F28" s="345">
        <v>2010</v>
      </c>
      <c r="G28" s="660">
        <v>2008</v>
      </c>
      <c r="H28" s="345">
        <v>2020</v>
      </c>
      <c r="I28" s="345">
        <v>2020</v>
      </c>
      <c r="J28" s="345">
        <v>2017</v>
      </c>
      <c r="K28" s="660">
        <v>2009</v>
      </c>
      <c r="L28" s="555">
        <v>2018</v>
      </c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  <c r="AS28" s="13"/>
      <c r="AT28" s="13"/>
      <c r="AU28" s="13"/>
      <c r="AV28" s="13"/>
      <c r="AW28" s="13"/>
      <c r="AX28" s="13"/>
      <c r="AY28" s="13"/>
      <c r="AZ28" s="13"/>
      <c r="BA28" s="13"/>
      <c r="BB28" s="13"/>
      <c r="BC28" s="13"/>
      <c r="BD28" s="13"/>
      <c r="BE28" s="13"/>
      <c r="BF28" s="13"/>
      <c r="BG28" s="13"/>
      <c r="BH28" s="13"/>
      <c r="BI28" s="13"/>
      <c r="BJ28" s="13"/>
      <c r="BK28" s="13"/>
      <c r="BL28" s="13"/>
    </row>
    <row r="29" spans="1:64" s="87" customFormat="1" ht="27" customHeight="1" x14ac:dyDescent="0.25">
      <c r="A29" s="148" t="s">
        <v>367</v>
      </c>
      <c r="B29" s="872"/>
      <c r="C29" s="814"/>
      <c r="D29" s="1199" t="s">
        <v>379</v>
      </c>
      <c r="E29" s="1208" t="s">
        <v>392</v>
      </c>
      <c r="F29" s="1199" t="s">
        <v>379</v>
      </c>
      <c r="G29" s="1206" t="s">
        <v>394</v>
      </c>
      <c r="H29" s="1208" t="s">
        <v>392</v>
      </c>
      <c r="I29" s="1199" t="s">
        <v>381</v>
      </c>
      <c r="J29" s="1208" t="s">
        <v>392</v>
      </c>
      <c r="K29" s="1206" t="s">
        <v>395</v>
      </c>
      <c r="L29" s="1206" t="s">
        <v>395</v>
      </c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  <c r="BC29" s="13"/>
      <c r="BD29" s="13"/>
      <c r="BE29" s="13"/>
      <c r="BF29" s="13"/>
      <c r="BG29" s="13"/>
      <c r="BH29" s="13"/>
      <c r="BI29" s="13"/>
      <c r="BJ29" s="13"/>
      <c r="BK29" s="13"/>
      <c r="BL29" s="13"/>
    </row>
    <row r="30" spans="1:64" s="87" customFormat="1" ht="41" customHeight="1" x14ac:dyDescent="0.25">
      <c r="A30" s="148" t="s">
        <v>384</v>
      </c>
      <c r="B30" s="872"/>
      <c r="C30" s="814"/>
      <c r="D30" s="1199" t="s">
        <v>386</v>
      </c>
      <c r="E30" s="1208" t="s">
        <v>393</v>
      </c>
      <c r="F30" s="1199" t="s">
        <v>374</v>
      </c>
      <c r="G30" s="1199" t="s">
        <v>374</v>
      </c>
      <c r="H30" s="1199" t="s">
        <v>374</v>
      </c>
      <c r="I30" s="1199" t="s">
        <v>381</v>
      </c>
      <c r="J30" s="1199" t="s">
        <v>386</v>
      </c>
      <c r="K30" s="1206" t="s">
        <v>396</v>
      </c>
      <c r="L30" s="1206" t="s">
        <v>396</v>
      </c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  <c r="BC30" s="13"/>
      <c r="BD30" s="13"/>
      <c r="BE30" s="13"/>
      <c r="BF30" s="13"/>
      <c r="BG30" s="13"/>
      <c r="BH30" s="13"/>
      <c r="BI30" s="13"/>
      <c r="BJ30" s="13"/>
      <c r="BK30" s="13"/>
      <c r="BL30" s="13"/>
    </row>
    <row r="31" spans="1:64" s="87" customFormat="1" ht="13.5" customHeight="1" x14ac:dyDescent="0.25">
      <c r="A31" s="152" t="s">
        <v>6</v>
      </c>
      <c r="B31" s="873"/>
      <c r="C31" s="810"/>
      <c r="D31" s="812"/>
      <c r="E31" s="812"/>
      <c r="F31" s="812"/>
      <c r="G31" s="812"/>
      <c r="H31" s="812"/>
      <c r="I31" s="812"/>
      <c r="J31" s="812"/>
      <c r="K31" s="812"/>
      <c r="L31" s="834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  <c r="BE31" s="13"/>
      <c r="BF31" s="13"/>
      <c r="BG31" s="13"/>
      <c r="BH31" s="13"/>
      <c r="BI31" s="13"/>
      <c r="BJ31" s="13"/>
      <c r="BK31" s="13"/>
      <c r="BL31" s="13"/>
    </row>
    <row r="32" spans="1:64" s="13" customFormat="1" ht="17.25" customHeight="1" x14ac:dyDescent="0.25">
      <c r="A32" s="1180" t="s">
        <v>306</v>
      </c>
      <c r="B32" s="874"/>
      <c r="C32" s="815"/>
      <c r="D32" s="662">
        <v>9</v>
      </c>
      <c r="E32" s="663">
        <v>3</v>
      </c>
      <c r="F32" s="663">
        <v>10</v>
      </c>
      <c r="G32" s="663">
        <v>11</v>
      </c>
      <c r="H32" s="663">
        <v>4</v>
      </c>
      <c r="I32" s="663">
        <v>4</v>
      </c>
      <c r="J32" s="663">
        <v>8</v>
      </c>
      <c r="K32" s="663">
        <v>11</v>
      </c>
      <c r="L32" s="869">
        <v>7</v>
      </c>
    </row>
    <row r="33" spans="1:64" s="89" customFormat="1" ht="17.25" customHeight="1" x14ac:dyDescent="0.25">
      <c r="A33" s="173" t="s">
        <v>19</v>
      </c>
      <c r="B33" s="875"/>
      <c r="C33" s="816"/>
      <c r="D33" s="857">
        <v>10</v>
      </c>
      <c r="E33" s="850">
        <v>9</v>
      </c>
      <c r="F33" s="850">
        <v>10</v>
      </c>
      <c r="G33" s="850">
        <v>20</v>
      </c>
      <c r="H33" s="850">
        <v>12</v>
      </c>
      <c r="I33" s="850">
        <v>12</v>
      </c>
      <c r="J33" s="850">
        <v>11</v>
      </c>
      <c r="K33" s="850">
        <v>10</v>
      </c>
      <c r="L33" s="836">
        <v>12</v>
      </c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  <c r="BB33" s="13"/>
      <c r="BC33" s="13"/>
      <c r="BD33" s="13"/>
      <c r="BE33" s="13"/>
      <c r="BF33" s="13"/>
      <c r="BG33" s="13"/>
      <c r="BH33" s="13"/>
      <c r="BI33" s="13"/>
      <c r="BJ33" s="13"/>
      <c r="BK33" s="13"/>
      <c r="BL33" s="13"/>
    </row>
    <row r="34" spans="1:64" s="89" customFormat="1" ht="17.25" customHeight="1" thickBot="1" x14ac:dyDescent="0.3">
      <c r="A34" s="174" t="s">
        <v>20</v>
      </c>
      <c r="B34" s="876"/>
      <c r="C34" s="817"/>
      <c r="D34" s="743">
        <v>11</v>
      </c>
      <c r="E34" s="580">
        <v>6</v>
      </c>
      <c r="F34" s="580">
        <v>10</v>
      </c>
      <c r="G34" s="580">
        <v>18</v>
      </c>
      <c r="H34" s="580">
        <v>11</v>
      </c>
      <c r="I34" s="580">
        <v>11</v>
      </c>
      <c r="J34" s="580">
        <v>12</v>
      </c>
      <c r="K34" s="580">
        <v>10</v>
      </c>
      <c r="L34" s="837">
        <v>13</v>
      </c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</row>
    <row r="35" spans="1:64" ht="12" customHeight="1" x14ac:dyDescent="0.3">
      <c r="A35" s="153"/>
      <c r="B35" s="155"/>
      <c r="C35" s="154"/>
      <c r="D35" s="604"/>
      <c r="E35" s="154"/>
      <c r="F35" s="154"/>
      <c r="G35" s="604"/>
      <c r="H35" s="604"/>
      <c r="I35" s="604"/>
      <c r="J35" s="154"/>
      <c r="K35" s="155"/>
      <c r="L35" s="154"/>
    </row>
  </sheetData>
  <phoneticPr fontId="6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9" scale="67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6">
    <pageSetUpPr fitToPage="1"/>
  </sheetPr>
  <dimension ref="A1:BB45"/>
  <sheetViews>
    <sheetView zoomScale="80" zoomScaleNormal="80" workbookViewId="0">
      <pane xSplit="13" ySplit="15" topLeftCell="N24" activePane="bottomRight" state="frozen"/>
      <selection pane="topRight" activeCell="N1" sqref="N1"/>
      <selection pane="bottomLeft" activeCell="A16" sqref="A16"/>
      <selection pane="bottomRight" activeCell="O33" sqref="O33"/>
    </sheetView>
  </sheetViews>
  <sheetFormatPr defaultColWidth="9.08984375" defaultRowHeight="12.5" x14ac:dyDescent="0.25"/>
  <cols>
    <col min="1" max="1" width="61" customWidth="1"/>
    <col min="2" max="2" width="10.08984375" style="43" customWidth="1"/>
    <col min="3" max="3" width="4.08984375" style="43" hidden="1" customWidth="1"/>
    <col min="4" max="4" width="9.26953125" style="43" customWidth="1"/>
    <col min="5" max="5" width="8.81640625" style="43" customWidth="1"/>
    <col min="6" max="6" width="8.6328125" style="43" customWidth="1"/>
    <col min="7" max="7" width="9" style="43" customWidth="1"/>
    <col min="8" max="8" width="10" style="43" customWidth="1"/>
    <col min="9" max="9" width="9.6328125" style="43" customWidth="1"/>
    <col min="10" max="10" width="9.6328125" style="605" customWidth="1"/>
    <col min="11" max="16" width="9" style="43" customWidth="1"/>
    <col min="17" max="17" width="9" style="605" customWidth="1"/>
    <col min="18" max="25" width="9" style="43" customWidth="1"/>
  </cols>
  <sheetData>
    <row r="1" spans="1:54" s="31" customFormat="1" ht="18.75" customHeight="1" thickBot="1" x14ac:dyDescent="0.35">
      <c r="A1" s="29" t="s">
        <v>317</v>
      </c>
      <c r="B1" s="30"/>
      <c r="C1" s="30"/>
      <c r="D1" s="30"/>
      <c r="E1" s="30"/>
      <c r="F1" s="30"/>
      <c r="G1" s="30"/>
      <c r="H1" s="30"/>
      <c r="I1" s="30"/>
      <c r="J1" s="603"/>
      <c r="K1" s="30"/>
      <c r="L1" s="30"/>
      <c r="M1" s="30"/>
      <c r="N1" s="30"/>
      <c r="O1" s="30"/>
      <c r="P1" s="30"/>
      <c r="Q1" s="603"/>
      <c r="R1" s="30"/>
      <c r="S1" s="30"/>
      <c r="T1" s="30"/>
      <c r="U1" s="30"/>
      <c r="V1" s="30"/>
      <c r="W1" s="30"/>
      <c r="X1" s="46"/>
      <c r="Y1" s="30"/>
    </row>
    <row r="2" spans="1:54" ht="12.75" customHeight="1" x14ac:dyDescent="0.25">
      <c r="A2" s="157"/>
      <c r="B2" s="32"/>
      <c r="C2" s="32"/>
      <c r="D2" s="1226" t="s">
        <v>16</v>
      </c>
      <c r="E2" s="1227"/>
      <c r="F2" s="1227"/>
      <c r="G2" s="1227"/>
      <c r="H2" s="1227"/>
      <c r="I2" s="556"/>
      <c r="J2" s="608"/>
      <c r="K2" s="557"/>
      <c r="L2" s="557"/>
      <c r="M2" s="557"/>
      <c r="N2" s="557"/>
      <c r="O2" s="557"/>
      <c r="P2" s="557"/>
      <c r="Q2" s="608"/>
      <c r="R2" s="557" t="s">
        <v>17</v>
      </c>
      <c r="S2" s="557"/>
      <c r="T2" s="557"/>
      <c r="U2" s="557"/>
      <c r="V2" s="557"/>
      <c r="W2" s="557"/>
      <c r="X2" s="557"/>
      <c r="Y2" s="558"/>
    </row>
    <row r="3" spans="1:54" ht="92.5" customHeight="1" x14ac:dyDescent="0.25">
      <c r="A3" s="158"/>
      <c r="B3" s="38" t="s">
        <v>86</v>
      </c>
      <c r="C3" s="38" t="s">
        <v>61</v>
      </c>
      <c r="D3" s="50" t="s">
        <v>318</v>
      </c>
      <c r="E3" s="1139" t="s">
        <v>397</v>
      </c>
      <c r="F3" s="1134" t="s">
        <v>107</v>
      </c>
      <c r="G3" s="1135" t="s">
        <v>108</v>
      </c>
      <c r="H3" s="1136" t="s">
        <v>109</v>
      </c>
      <c r="I3" s="50" t="s">
        <v>319</v>
      </c>
      <c r="J3" s="1189" t="s">
        <v>366</v>
      </c>
      <c r="K3" s="1137" t="s">
        <v>151</v>
      </c>
      <c r="L3" s="1138" t="s">
        <v>99</v>
      </c>
      <c r="M3" s="1137" t="s">
        <v>100</v>
      </c>
      <c r="N3" s="1137" t="s">
        <v>263</v>
      </c>
      <c r="O3" s="1138" t="s">
        <v>103</v>
      </c>
      <c r="P3" s="1137" t="s">
        <v>102</v>
      </c>
      <c r="Q3" s="1137" t="s">
        <v>104</v>
      </c>
      <c r="R3" s="1137" t="s">
        <v>101</v>
      </c>
      <c r="S3" s="1137" t="s">
        <v>110</v>
      </c>
      <c r="T3" s="1137" t="s">
        <v>142</v>
      </c>
      <c r="U3" s="1138" t="s">
        <v>168</v>
      </c>
      <c r="V3" s="1137" t="s">
        <v>268</v>
      </c>
      <c r="W3" s="1137" t="s">
        <v>105</v>
      </c>
      <c r="X3" s="1139" t="s">
        <v>111</v>
      </c>
      <c r="Y3" s="1140" t="s">
        <v>106</v>
      </c>
    </row>
    <row r="4" spans="1:54" ht="25.5" customHeight="1" x14ac:dyDescent="0.25">
      <c r="A4" s="148" t="s">
        <v>269</v>
      </c>
      <c r="B4" s="794"/>
      <c r="C4" s="794"/>
      <c r="D4" s="917"/>
      <c r="E4" s="344" t="s">
        <v>2</v>
      </c>
      <c r="F4" s="350" t="s">
        <v>1</v>
      </c>
      <c r="G4" s="344" t="s">
        <v>4</v>
      </c>
      <c r="H4" s="593" t="s">
        <v>4</v>
      </c>
      <c r="I4" s="917"/>
      <c r="J4" s="896" t="s">
        <v>3</v>
      </c>
      <c r="K4" s="755" t="s">
        <v>3</v>
      </c>
      <c r="L4" s="350" t="s">
        <v>1</v>
      </c>
      <c r="M4" s="344" t="s">
        <v>1</v>
      </c>
      <c r="N4" s="344" t="s">
        <v>2</v>
      </c>
      <c r="O4" s="350" t="s">
        <v>1</v>
      </c>
      <c r="P4" s="344" t="s">
        <v>1</v>
      </c>
      <c r="Q4" s="344" t="s">
        <v>4</v>
      </c>
      <c r="R4" s="344" t="s">
        <v>2</v>
      </c>
      <c r="S4" s="344" t="s">
        <v>4</v>
      </c>
      <c r="T4" s="344" t="s">
        <v>2</v>
      </c>
      <c r="U4" s="344" t="s">
        <v>2</v>
      </c>
      <c r="V4" s="344" t="s">
        <v>2</v>
      </c>
      <c r="W4" s="344" t="s">
        <v>1</v>
      </c>
      <c r="X4" s="350" t="s">
        <v>4</v>
      </c>
      <c r="Y4" s="593" t="s">
        <v>3</v>
      </c>
    </row>
    <row r="5" spans="1:54" ht="19.5" customHeight="1" x14ac:dyDescent="0.25">
      <c r="A5" s="149" t="s">
        <v>7</v>
      </c>
      <c r="B5" s="795"/>
      <c r="C5" s="795"/>
      <c r="D5" s="918"/>
      <c r="E5" s="1184">
        <v>142.68299999999999</v>
      </c>
      <c r="F5" s="1184">
        <v>144.72300000000001</v>
      </c>
      <c r="G5" s="1184">
        <v>147.79900000000001</v>
      </c>
      <c r="H5" s="1184">
        <v>148.55700000000002</v>
      </c>
      <c r="I5" s="918"/>
      <c r="J5" s="1184">
        <v>136.114</v>
      </c>
      <c r="K5" s="1184">
        <v>139.89100000000002</v>
      </c>
      <c r="L5" s="1184">
        <v>140.48399999999998</v>
      </c>
      <c r="M5" s="1184">
        <v>142.57999999999998</v>
      </c>
      <c r="N5" s="1184">
        <v>143.29300000000001</v>
      </c>
      <c r="O5" s="1184">
        <v>143.34399999999999</v>
      </c>
      <c r="P5" s="1184">
        <v>143.82999999999998</v>
      </c>
      <c r="Q5" s="1184">
        <v>143.876</v>
      </c>
      <c r="R5" s="1184">
        <v>143.93099999999998</v>
      </c>
      <c r="S5" s="1184">
        <v>144.44400000000002</v>
      </c>
      <c r="T5" s="1184">
        <v>144.87299999999999</v>
      </c>
      <c r="U5" s="1184">
        <v>144.875</v>
      </c>
      <c r="V5" s="1184">
        <v>145.22899999999998</v>
      </c>
      <c r="W5" s="1184">
        <v>145.51600000000002</v>
      </c>
      <c r="X5" s="1184">
        <v>146.428</v>
      </c>
      <c r="Y5" s="1184">
        <v>149.006</v>
      </c>
    </row>
    <row r="6" spans="1:54" s="13" customFormat="1" ht="17.25" customHeight="1" x14ac:dyDescent="0.25">
      <c r="A6" s="112" t="s">
        <v>303</v>
      </c>
      <c r="B6" s="802"/>
      <c r="C6" s="802"/>
      <c r="D6" s="913"/>
      <c r="E6" s="914"/>
      <c r="F6" s="914"/>
      <c r="G6" s="914"/>
      <c r="H6" s="916"/>
      <c r="I6" s="913"/>
      <c r="J6" s="915"/>
      <c r="K6" s="799"/>
      <c r="L6" s="799"/>
      <c r="M6" s="799"/>
      <c r="N6" s="799"/>
      <c r="O6" s="799"/>
      <c r="P6" s="799"/>
      <c r="Q6" s="799"/>
      <c r="R6" s="799"/>
      <c r="S6" s="799"/>
      <c r="T6" s="799"/>
      <c r="U6" s="799"/>
      <c r="V6" s="799"/>
      <c r="W6" s="799"/>
      <c r="X6" s="799"/>
      <c r="Y6" s="819"/>
    </row>
    <row r="7" spans="1:54" s="89" customFormat="1" ht="17.25" customHeight="1" x14ac:dyDescent="0.25">
      <c r="A7" s="465" t="s">
        <v>253</v>
      </c>
      <c r="B7" s="466">
        <v>100</v>
      </c>
      <c r="C7" s="466">
        <v>105.3008</v>
      </c>
      <c r="D7" s="467">
        <v>103.8014555127386</v>
      </c>
      <c r="E7" s="55">
        <v>98.144193189212643</v>
      </c>
      <c r="F7" s="129">
        <v>103.9740824011658</v>
      </c>
      <c r="G7" s="130">
        <v>103.95941721182113</v>
      </c>
      <c r="H7" s="468">
        <v>103.47086692522882</v>
      </c>
      <c r="I7" s="467">
        <v>99.205183519766862</v>
      </c>
      <c r="J7" s="877">
        <v>79.890989561737612</v>
      </c>
      <c r="K7" s="694">
        <v>102.98312302706734</v>
      </c>
      <c r="L7" s="694">
        <v>102.0649915767243</v>
      </c>
      <c r="M7" s="694">
        <v>100.68431569636839</v>
      </c>
      <c r="N7" s="694">
        <v>100.84675978526461</v>
      </c>
      <c r="O7" s="694">
        <v>97.732820431979761</v>
      </c>
      <c r="P7" s="694">
        <v>96.83512904841659</v>
      </c>
      <c r="Q7" s="694">
        <v>96.064034166206852</v>
      </c>
      <c r="R7" s="694">
        <v>96.37022131237994</v>
      </c>
      <c r="S7" s="694">
        <v>102.31512903173937</v>
      </c>
      <c r="T7" s="694">
        <v>98.384961268718541</v>
      </c>
      <c r="U7" s="694">
        <v>102.8705561795893</v>
      </c>
      <c r="V7" s="694">
        <v>98.400839801177071</v>
      </c>
      <c r="W7" s="694">
        <v>98.70866084534515</v>
      </c>
      <c r="X7" s="693">
        <v>97.023757836750903</v>
      </c>
      <c r="Y7" s="696">
        <v>98.946070970079504</v>
      </c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</row>
    <row r="8" spans="1:54" s="89" customFormat="1" ht="17.25" customHeight="1" x14ac:dyDescent="0.25">
      <c r="A8" s="289" t="s">
        <v>254</v>
      </c>
      <c r="B8" s="163">
        <v>100</v>
      </c>
      <c r="C8" s="163">
        <v>94.820220000000006</v>
      </c>
      <c r="D8" s="469">
        <v>95.975268219470365</v>
      </c>
      <c r="E8" s="52">
        <v>99.408594585371205</v>
      </c>
      <c r="F8" s="51">
        <v>97.744191638431658</v>
      </c>
      <c r="G8" s="53">
        <v>93.701531926708043</v>
      </c>
      <c r="H8" s="470">
        <v>96.480081093271366</v>
      </c>
      <c r="I8" s="469">
        <v>100.45116167231366</v>
      </c>
      <c r="J8" s="878">
        <v>104.73348173281765</v>
      </c>
      <c r="K8" s="60">
        <v>105.20822548916708</v>
      </c>
      <c r="L8" s="60">
        <v>100.78802759765833</v>
      </c>
      <c r="M8" s="60">
        <v>100.50447414974697</v>
      </c>
      <c r="N8" s="60">
        <v>105.91999129807118</v>
      </c>
      <c r="O8" s="60">
        <v>98.699119411649392</v>
      </c>
      <c r="P8" s="60">
        <v>100.24929656337653</v>
      </c>
      <c r="Q8" s="60">
        <v>99.48188342473631</v>
      </c>
      <c r="R8" s="60">
        <v>103.11498112759429</v>
      </c>
      <c r="S8" s="60">
        <v>99.301126224489281</v>
      </c>
      <c r="T8" s="60">
        <v>103.81278768000988</v>
      </c>
      <c r="U8" s="60">
        <v>102.07434161837082</v>
      </c>
      <c r="V8" s="60">
        <v>103.78659086597109</v>
      </c>
      <c r="W8" s="60">
        <v>102.01489063913711</v>
      </c>
      <c r="X8" s="536">
        <v>101.21604031216961</v>
      </c>
      <c r="Y8" s="821">
        <v>104.85061695051128</v>
      </c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</row>
    <row r="9" spans="1:54" s="89" customFormat="1" ht="17.25" customHeight="1" x14ac:dyDescent="0.25">
      <c r="A9" s="289" t="s">
        <v>255</v>
      </c>
      <c r="B9" s="163">
        <v>100</v>
      </c>
      <c r="C9" s="163">
        <v>97.018649999999994</v>
      </c>
      <c r="D9" s="469">
        <v>93.078841012604116</v>
      </c>
      <c r="E9" s="52">
        <v>98.267091131748984</v>
      </c>
      <c r="F9" s="51">
        <v>97.224149858941217</v>
      </c>
      <c r="G9" s="131">
        <v>91.863803381345491</v>
      </c>
      <c r="H9" s="470">
        <v>90.148569797525639</v>
      </c>
      <c r="I9" s="469">
        <v>100.55517002821175</v>
      </c>
      <c r="J9" s="878">
        <v>102.78476655877098</v>
      </c>
      <c r="K9" s="60">
        <v>106.70889352760635</v>
      </c>
      <c r="L9" s="60">
        <v>95.938158214893974</v>
      </c>
      <c r="M9" s="536">
        <v>100.78307854005557</v>
      </c>
      <c r="N9" s="536">
        <v>106.3729362998682</v>
      </c>
      <c r="O9" s="536">
        <v>99.955672954354995</v>
      </c>
      <c r="P9" s="536">
        <v>100.99766231792152</v>
      </c>
      <c r="Q9" s="536">
        <v>99.310762765116607</v>
      </c>
      <c r="R9" s="536">
        <v>100.27556015915819</v>
      </c>
      <c r="S9" s="536">
        <v>100.33791081823271</v>
      </c>
      <c r="T9" s="536">
        <v>103.74606736270476</v>
      </c>
      <c r="U9" s="536">
        <v>103.55829550040005</v>
      </c>
      <c r="V9" s="536">
        <v>102.43461359576789</v>
      </c>
      <c r="W9" s="536">
        <v>105.10127811383266</v>
      </c>
      <c r="X9" s="536">
        <v>104.31037954534499</v>
      </c>
      <c r="Y9" s="699">
        <v>100.13673591432476</v>
      </c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</row>
    <row r="10" spans="1:54" s="89" customFormat="1" ht="17.25" customHeight="1" x14ac:dyDescent="0.25">
      <c r="A10" s="289" t="s">
        <v>252</v>
      </c>
      <c r="B10" s="163">
        <v>100</v>
      </c>
      <c r="C10" s="164">
        <v>99.042437631578935</v>
      </c>
      <c r="D10" s="471">
        <v>97.513827536708391</v>
      </c>
      <c r="E10" s="52">
        <v>98.606626302110953</v>
      </c>
      <c r="F10" s="51">
        <v>99.676671316869189</v>
      </c>
      <c r="G10" s="53">
        <v>96.358429954196524</v>
      </c>
      <c r="H10" s="470">
        <v>96.506381339059459</v>
      </c>
      <c r="I10" s="471">
        <v>100.1201124278108</v>
      </c>
      <c r="J10" s="879">
        <v>95.803079284442077</v>
      </c>
      <c r="K10" s="60">
        <v>104.58934073506862</v>
      </c>
      <c r="L10" s="60">
        <v>99.641142273311445</v>
      </c>
      <c r="M10" s="60">
        <v>100.65633817748113</v>
      </c>
      <c r="N10" s="60">
        <v>104.37989579440132</v>
      </c>
      <c r="O10" s="60">
        <v>98.833283901103115</v>
      </c>
      <c r="P10" s="60">
        <v>99.427158264154585</v>
      </c>
      <c r="Q10" s="60">
        <v>98.318631171797236</v>
      </c>
      <c r="R10" s="60">
        <v>99.78710904951626</v>
      </c>
      <c r="S10" s="60">
        <v>100.65138869148714</v>
      </c>
      <c r="T10" s="60">
        <v>101.40853118288845</v>
      </c>
      <c r="U10" s="60">
        <v>102.83956325375853</v>
      </c>
      <c r="V10" s="60">
        <v>101.54068142097202</v>
      </c>
      <c r="W10" s="60">
        <v>102.04263952300371</v>
      </c>
      <c r="X10" s="60">
        <v>100.95075137338685</v>
      </c>
      <c r="Y10" s="821">
        <v>101.31063316642191</v>
      </c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</row>
    <row r="11" spans="1:54" s="89" customFormat="1" ht="33.65" customHeight="1" x14ac:dyDescent="0.25">
      <c r="A11" s="298" t="s">
        <v>332</v>
      </c>
      <c r="B11" s="101">
        <v>100</v>
      </c>
      <c r="C11" s="101">
        <v>98.840469999999996</v>
      </c>
      <c r="D11" s="472">
        <v>101.26037487503257</v>
      </c>
      <c r="E11" s="240">
        <v>91.94744375236975</v>
      </c>
      <c r="F11" s="103">
        <v>100.70663520140228</v>
      </c>
      <c r="G11" s="105">
        <v>100.60411066398623</v>
      </c>
      <c r="H11" s="473">
        <v>102.47037875970921</v>
      </c>
      <c r="I11" s="472">
        <v>99.858672959719556</v>
      </c>
      <c r="J11" s="880">
        <v>70.707382925614993</v>
      </c>
      <c r="K11" s="539">
        <v>99.775572165852452</v>
      </c>
      <c r="L11" s="539">
        <v>103.38441073145562</v>
      </c>
      <c r="M11" s="539">
        <v>100.10100176361276</v>
      </c>
      <c r="N11" s="539">
        <v>99.880738295120224</v>
      </c>
      <c r="O11" s="539">
        <v>99.716056617446625</v>
      </c>
      <c r="P11" s="539">
        <v>98.235941577328532</v>
      </c>
      <c r="Q11" s="539">
        <v>99.962322966888209</v>
      </c>
      <c r="R11" s="539">
        <v>94.474251970004701</v>
      </c>
      <c r="S11" s="539">
        <v>101.25698034680933</v>
      </c>
      <c r="T11" s="539">
        <v>97.388263761014045</v>
      </c>
      <c r="U11" s="539">
        <v>107.24087033228795</v>
      </c>
      <c r="V11" s="539">
        <v>98.084752989550324</v>
      </c>
      <c r="W11" s="539">
        <v>97.855954108754261</v>
      </c>
      <c r="X11" s="322">
        <v>98.045597386735423</v>
      </c>
      <c r="Y11" s="822">
        <v>98.647252090533996</v>
      </c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</row>
    <row r="12" spans="1:54" s="474" customFormat="1" ht="18" customHeight="1" x14ac:dyDescent="0.25">
      <c r="A12" s="152" t="s">
        <v>11</v>
      </c>
      <c r="B12" s="802"/>
      <c r="C12" s="802"/>
      <c r="D12" s="913"/>
      <c r="E12" s="914"/>
      <c r="F12" s="914"/>
      <c r="G12" s="914"/>
      <c r="H12" s="914"/>
      <c r="I12" s="913"/>
      <c r="J12" s="915"/>
      <c r="K12" s="799"/>
      <c r="L12" s="799"/>
      <c r="M12" s="799"/>
      <c r="N12" s="799"/>
      <c r="O12" s="799"/>
      <c r="P12" s="799"/>
      <c r="Q12" s="799"/>
      <c r="R12" s="799"/>
      <c r="S12" s="799"/>
      <c r="T12" s="799"/>
      <c r="U12" s="799"/>
      <c r="V12" s="799"/>
      <c r="W12" s="799"/>
      <c r="X12" s="799"/>
      <c r="Y12" s="819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</row>
    <row r="13" spans="1:54" s="89" customFormat="1" ht="17.25" customHeight="1" x14ac:dyDescent="0.25">
      <c r="A13" s="1181" t="s">
        <v>294</v>
      </c>
      <c r="B13" s="163">
        <v>62.430175702813507</v>
      </c>
      <c r="C13" s="163"/>
      <c r="D13" s="469">
        <v>58.374734923024455</v>
      </c>
      <c r="E13" s="55">
        <v>56.111731494552522</v>
      </c>
      <c r="F13" s="51">
        <v>60.114071431217681</v>
      </c>
      <c r="G13" s="53">
        <v>55.387455500971782</v>
      </c>
      <c r="H13" s="470">
        <v>59.622677836883902</v>
      </c>
      <c r="I13" s="469">
        <v>62.893396557132668</v>
      </c>
      <c r="J13" s="878">
        <v>82.499996234789407</v>
      </c>
      <c r="K13" s="60">
        <v>55.495392969898674</v>
      </c>
      <c r="L13" s="60">
        <v>62.401749885599529</v>
      </c>
      <c r="M13" s="60">
        <v>62.150029041619312</v>
      </c>
      <c r="N13" s="60">
        <v>66.538731494529955</v>
      </c>
      <c r="O13" s="60">
        <v>63.498655500971772</v>
      </c>
      <c r="P13" s="60">
        <v>65.068047128337682</v>
      </c>
      <c r="Q13" s="60">
        <v>69.734555500971766</v>
      </c>
      <c r="R13" s="60">
        <v>63.014864992860183</v>
      </c>
      <c r="S13" s="60">
        <v>57.377555500971781</v>
      </c>
      <c r="T13" s="60">
        <v>66.759018030981352</v>
      </c>
      <c r="U13" s="60">
        <v>61.455926156131824</v>
      </c>
      <c r="V13" s="60">
        <v>60.381398161196621</v>
      </c>
      <c r="W13" s="60">
        <v>61.348501229135053</v>
      </c>
      <c r="X13" s="536">
        <v>58.694739462017886</v>
      </c>
      <c r="Y13" s="821">
        <v>57.810319598799794</v>
      </c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</row>
    <row r="14" spans="1:54" s="89" customFormat="1" ht="17.25" customHeight="1" x14ac:dyDescent="0.25">
      <c r="A14" s="1181" t="s">
        <v>280</v>
      </c>
      <c r="B14" s="101">
        <v>58.280428903532311</v>
      </c>
      <c r="C14" s="101"/>
      <c r="D14" s="472">
        <v>48.122107706945968</v>
      </c>
      <c r="E14" s="102">
        <v>48.403706047022212</v>
      </c>
      <c r="F14" s="103">
        <v>48.344883358135704</v>
      </c>
      <c r="G14" s="105">
        <v>49.35083200637375</v>
      </c>
      <c r="H14" s="405">
        <v>46.670607756328458</v>
      </c>
      <c r="I14" s="472">
        <v>60.267538012611638</v>
      </c>
      <c r="J14" s="880">
        <v>84.005545275165986</v>
      </c>
      <c r="K14" s="539">
        <v>50.218057982695555</v>
      </c>
      <c r="L14" s="539">
        <v>57.906203076949112</v>
      </c>
      <c r="M14" s="539">
        <v>57.985938188745834</v>
      </c>
      <c r="N14" s="539">
        <v>69.25170604703689</v>
      </c>
      <c r="O14" s="539">
        <v>59.680741097282848</v>
      </c>
      <c r="P14" s="539">
        <v>66.271910021779973</v>
      </c>
      <c r="Q14" s="539">
        <v>62.900468370010117</v>
      </c>
      <c r="R14" s="539">
        <v>61.592947046104698</v>
      </c>
      <c r="S14" s="539">
        <v>52.472696809781361</v>
      </c>
      <c r="T14" s="539">
        <v>64.885557982695559</v>
      </c>
      <c r="U14" s="539">
        <v>55.938059169005044</v>
      </c>
      <c r="V14" s="539">
        <v>60.443372713703575</v>
      </c>
      <c r="W14" s="539">
        <v>59.492897678300437</v>
      </c>
      <c r="X14" s="322">
        <v>55.768851805210971</v>
      </c>
      <c r="Y14" s="822">
        <v>57.676766043358256</v>
      </c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3"/>
      <c r="BB14" s="13"/>
    </row>
    <row r="15" spans="1:54" s="89" customFormat="1" ht="17.25" customHeight="1" x14ac:dyDescent="0.25">
      <c r="A15" s="475" t="s">
        <v>320</v>
      </c>
      <c r="B15" s="163">
        <v>100</v>
      </c>
      <c r="C15" s="163">
        <v>96.313938050000004</v>
      </c>
      <c r="D15" s="469">
        <v>89.645567168026943</v>
      </c>
      <c r="E15" s="371" t="s">
        <v>261</v>
      </c>
      <c r="F15" s="51">
        <v>95.256416015348819</v>
      </c>
      <c r="G15" s="53">
        <v>90.346399895204144</v>
      </c>
      <c r="H15" s="470">
        <v>83.333885593527896</v>
      </c>
      <c r="I15" s="469">
        <v>100.94871679693024</v>
      </c>
      <c r="J15" s="879" t="s">
        <v>5</v>
      </c>
      <c r="K15" s="60">
        <v>78.029211618139414</v>
      </c>
      <c r="L15" s="60">
        <v>92.533721323946111</v>
      </c>
      <c r="M15" s="60">
        <v>101.20293655508804</v>
      </c>
      <c r="N15" s="60" t="s">
        <v>259</v>
      </c>
      <c r="O15" s="60">
        <v>104.98423380427991</v>
      </c>
      <c r="P15" s="60">
        <v>88.47471707979166</v>
      </c>
      <c r="Q15" s="60">
        <v>89.344853749427045</v>
      </c>
      <c r="R15" s="60">
        <v>83.43518992268119</v>
      </c>
      <c r="S15" s="60">
        <v>93.65585589550922</v>
      </c>
      <c r="T15" s="60">
        <v>86.611552940572551</v>
      </c>
      <c r="U15" s="60">
        <v>92.775508942177225</v>
      </c>
      <c r="V15" s="60" t="s">
        <v>260</v>
      </c>
      <c r="W15" s="60">
        <v>117.54797522154554</v>
      </c>
      <c r="X15" s="60">
        <v>101.75539127034257</v>
      </c>
      <c r="Y15" s="821">
        <v>89.816646873064073</v>
      </c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</row>
    <row r="16" spans="1:54" s="109" customFormat="1" ht="18" customHeight="1" x14ac:dyDescent="0.25">
      <c r="A16" s="373" t="s">
        <v>305</v>
      </c>
      <c r="B16" s="802"/>
      <c r="C16" s="802"/>
      <c r="D16" s="913"/>
      <c r="E16" s="914"/>
      <c r="F16" s="914"/>
      <c r="G16" s="914"/>
      <c r="H16" s="914"/>
      <c r="I16" s="913"/>
      <c r="J16" s="915"/>
      <c r="K16" s="799"/>
      <c r="L16" s="799"/>
      <c r="M16" s="799"/>
      <c r="N16" s="799"/>
      <c r="O16" s="799"/>
      <c r="P16" s="799"/>
      <c r="Q16" s="799"/>
      <c r="R16" s="799"/>
      <c r="S16" s="799"/>
      <c r="T16" s="799"/>
      <c r="U16" s="799"/>
      <c r="V16" s="799"/>
      <c r="W16" s="799"/>
      <c r="X16" s="799"/>
      <c r="Y16" s="819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</row>
    <row r="17" spans="1:54" s="89" customFormat="1" ht="17.25" customHeight="1" x14ac:dyDescent="0.25">
      <c r="A17" s="476" t="s">
        <v>256</v>
      </c>
      <c r="B17" s="165">
        <v>100</v>
      </c>
      <c r="C17" s="165">
        <v>119.3365</v>
      </c>
      <c r="D17" s="477">
        <v>107.97780217812237</v>
      </c>
      <c r="E17" s="277">
        <v>112.28484840517372</v>
      </c>
      <c r="F17" s="408">
        <v>114.93446324345324</v>
      </c>
      <c r="G17" s="105">
        <v>109.60583498290096</v>
      </c>
      <c r="H17" s="478">
        <v>99.393108308012941</v>
      </c>
      <c r="I17" s="477">
        <v>97.013107351309344</v>
      </c>
      <c r="J17" s="881">
        <v>66.318400228870431</v>
      </c>
      <c r="K17" s="768">
        <v>92.028509134346152</v>
      </c>
      <c r="L17" s="768">
        <v>99.16625806728058</v>
      </c>
      <c r="M17" s="768">
        <v>109.79280512424643</v>
      </c>
      <c r="N17" s="768">
        <v>106.94685063243411</v>
      </c>
      <c r="O17" s="768">
        <v>93.708072261430516</v>
      </c>
      <c r="P17" s="768">
        <v>82.530107418973117</v>
      </c>
      <c r="Q17" s="768">
        <v>83.124630709647391</v>
      </c>
      <c r="R17" s="768">
        <v>105.78806347855213</v>
      </c>
      <c r="S17" s="768">
        <v>111.76901553192312</v>
      </c>
      <c r="T17" s="768">
        <v>92.888995010436147</v>
      </c>
      <c r="U17" s="773">
        <v>86.595779964176984</v>
      </c>
      <c r="V17" s="768">
        <v>92.913082294499191</v>
      </c>
      <c r="W17" s="768">
        <v>99.868293884616065</v>
      </c>
      <c r="X17" s="770">
        <v>101.24651159817107</v>
      </c>
      <c r="Y17" s="826">
        <v>97.037599327806291</v>
      </c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  <c r="BA17" s="13"/>
      <c r="BB17" s="13"/>
    </row>
    <row r="18" spans="1:54" s="89" customFormat="1" ht="17.25" customHeight="1" x14ac:dyDescent="0.25">
      <c r="A18" s="290" t="s">
        <v>262</v>
      </c>
      <c r="B18" s="163">
        <v>100</v>
      </c>
      <c r="C18" s="163">
        <v>92.282330000000002</v>
      </c>
      <c r="D18" s="469">
        <v>96.070641909868769</v>
      </c>
      <c r="E18" s="52">
        <v>95.278685262704087</v>
      </c>
      <c r="F18" s="51">
        <v>96.118815558720158</v>
      </c>
      <c r="G18" s="53">
        <v>94.051359610464672</v>
      </c>
      <c r="H18" s="470">
        <v>98.041750560421505</v>
      </c>
      <c r="I18" s="469">
        <v>100.77623688825594</v>
      </c>
      <c r="J18" s="878">
        <v>63.411389720482148</v>
      </c>
      <c r="K18" s="60">
        <v>95.56274473827429</v>
      </c>
      <c r="L18" s="60">
        <v>98.594712238758703</v>
      </c>
      <c r="M18" s="60">
        <v>101.56771324707709</v>
      </c>
      <c r="N18" s="60">
        <v>100.50410254600369</v>
      </c>
      <c r="O18" s="60">
        <v>102.5244018289344</v>
      </c>
      <c r="P18" s="60">
        <v>102.02674409613903</v>
      </c>
      <c r="Q18" s="60">
        <v>106.12199326728046</v>
      </c>
      <c r="R18" s="60">
        <v>94.749446570916575</v>
      </c>
      <c r="S18" s="60">
        <v>93.800924865091233</v>
      </c>
      <c r="T18" s="60">
        <v>97.557681439024464</v>
      </c>
      <c r="U18" s="60">
        <v>99.474608365753483</v>
      </c>
      <c r="V18" s="60">
        <v>93.970324253246631</v>
      </c>
      <c r="W18" s="60">
        <v>99.167613030370532</v>
      </c>
      <c r="X18" s="536">
        <v>98.045434617559664</v>
      </c>
      <c r="Y18" s="821">
        <v>96.159503074122298</v>
      </c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3"/>
      <c r="AT18" s="13"/>
      <c r="AU18" s="13"/>
      <c r="AV18" s="13"/>
      <c r="AW18" s="13"/>
      <c r="AX18" s="13"/>
      <c r="AY18" s="13"/>
      <c r="AZ18" s="13"/>
      <c r="BA18" s="13"/>
      <c r="BB18" s="13"/>
    </row>
    <row r="19" spans="1:54" s="168" customFormat="1" ht="17.25" customHeight="1" x14ac:dyDescent="0.25">
      <c r="A19" s="582" t="s">
        <v>307</v>
      </c>
      <c r="B19" s="166">
        <f>65+7.1477392807493</f>
        <v>72.147739280749306</v>
      </c>
      <c r="C19" s="166">
        <v>6.9647459999999999</v>
      </c>
      <c r="D19" s="480">
        <f>65+7.4844832979034</f>
        <v>72.484483297903395</v>
      </c>
      <c r="E19" s="137">
        <f>65+3.764862506957</f>
        <v>68.764862506957002</v>
      </c>
      <c r="F19" s="409">
        <f>65+6.76928572693089</f>
        <v>71.769285726930889</v>
      </c>
      <c r="G19" s="138">
        <f>65+7.91233216763169</f>
        <v>72.912332167631689</v>
      </c>
      <c r="H19" s="132">
        <f>65+7.77183199914772</f>
        <v>72.771831999147722</v>
      </c>
      <c r="I19" s="480">
        <f>65+7.2234299915129</f>
        <v>72.223429991512901</v>
      </c>
      <c r="J19" s="882">
        <f>65+5.97113850046084</f>
        <v>70.971138500460839</v>
      </c>
      <c r="K19" s="747">
        <f>65+6.73789165385546</f>
        <v>71.737891653855456</v>
      </c>
      <c r="L19" s="747">
        <f>65+8.22642856057628</f>
        <v>73.226428560576281</v>
      </c>
      <c r="M19" s="747">
        <f>65+6.7518747506201</f>
        <v>71.751874750620104</v>
      </c>
      <c r="N19" s="747">
        <f>65+5.73319584028621</f>
        <v>70.733195840286214</v>
      </c>
      <c r="O19" s="747">
        <f>65+7.62533216763167</f>
        <v>72.625332167631669</v>
      </c>
      <c r="P19" s="747">
        <f>65+6.97218231110494</f>
        <v>71.972182311104945</v>
      </c>
      <c r="Q19" s="747">
        <f>65+6.80333216763165</f>
        <v>71.803332167631652</v>
      </c>
      <c r="R19" s="747">
        <f>65+7.64210493947022</f>
        <v>72.642104939470215</v>
      </c>
      <c r="S19" s="747">
        <f>65+7.96633216763168</f>
        <v>72.966332167631677</v>
      </c>
      <c r="T19" s="747">
        <f>65+7.60698256718183</f>
        <v>72.606982567181831</v>
      </c>
      <c r="U19" s="747">
        <f>65+10.0365590019802</f>
        <v>75.036559001980194</v>
      </c>
      <c r="V19" s="747">
        <f>65+8.11819584028623</f>
        <v>73.118195840286234</v>
      </c>
      <c r="W19" s="747">
        <f>65+6.54133216763168</f>
        <v>71.54133216763168</v>
      </c>
      <c r="X19" s="709">
        <f>65+7.50718238475295</f>
        <v>72.507182384752952</v>
      </c>
      <c r="Y19" s="824">
        <f>65+8.52960492375315</f>
        <v>73.529604923753155</v>
      </c>
      <c r="Z19" s="167"/>
      <c r="AA19" s="167"/>
      <c r="AB19" s="167"/>
      <c r="AC19" s="167"/>
      <c r="AD19" s="167"/>
      <c r="AE19" s="167"/>
      <c r="AF19" s="167"/>
      <c r="AG19" s="167"/>
      <c r="AH19" s="167"/>
      <c r="AI19" s="167"/>
      <c r="AJ19" s="167"/>
      <c r="AK19" s="167"/>
      <c r="AL19" s="167"/>
      <c r="AM19" s="167"/>
      <c r="AN19" s="167"/>
      <c r="AO19" s="167"/>
      <c r="AP19" s="167"/>
      <c r="AQ19" s="167"/>
      <c r="AR19" s="167"/>
      <c r="AS19" s="167"/>
      <c r="AT19" s="167"/>
      <c r="AU19" s="167"/>
      <c r="AV19" s="167"/>
      <c r="AW19" s="167"/>
      <c r="AX19" s="167"/>
      <c r="AY19" s="167"/>
      <c r="AZ19" s="167"/>
      <c r="BA19" s="167"/>
      <c r="BB19" s="167"/>
    </row>
    <row r="20" spans="1:54" s="89" customFormat="1" ht="17.25" customHeight="1" x14ac:dyDescent="0.25">
      <c r="A20" s="290" t="s">
        <v>257</v>
      </c>
      <c r="B20" s="163">
        <v>100</v>
      </c>
      <c r="C20" s="163">
        <v>111.9648</v>
      </c>
      <c r="D20" s="469">
        <v>114.55555776851565</v>
      </c>
      <c r="E20" s="52">
        <v>97.808090005281926</v>
      </c>
      <c r="F20" s="51">
        <v>115.46804028621509</v>
      </c>
      <c r="G20" s="53">
        <v>113.98463568471068</v>
      </c>
      <c r="H20" s="470">
        <v>114.21399733462118</v>
      </c>
      <c r="I20" s="469">
        <v>96.906391942756969</v>
      </c>
      <c r="J20" s="878">
        <v>86.577877887291976</v>
      </c>
      <c r="K20" s="60">
        <v>108.41452801657084</v>
      </c>
      <c r="L20" s="60">
        <v>107.39625918295172</v>
      </c>
      <c r="M20" s="60">
        <v>98.924161125918062</v>
      </c>
      <c r="N20" s="60">
        <v>100.73240524268749</v>
      </c>
      <c r="O20" s="60">
        <v>93.232081344466479</v>
      </c>
      <c r="P20" s="60">
        <v>88.614369716459976</v>
      </c>
      <c r="Q20" s="60">
        <v>89.759731017540062</v>
      </c>
      <c r="R20" s="60">
        <v>93.900464386487442</v>
      </c>
      <c r="S20" s="60">
        <v>116.52050365073872</v>
      </c>
      <c r="T20" s="60">
        <v>94.6654510477657</v>
      </c>
      <c r="U20" s="60">
        <v>111.73242505541214</v>
      </c>
      <c r="V20" s="60">
        <v>102.5738031433303</v>
      </c>
      <c r="W20" s="60">
        <v>96.365088343988674</v>
      </c>
      <c r="X20" s="536">
        <v>99.16726281486099</v>
      </c>
      <c r="Y20" s="821">
        <v>102.40177087756348</v>
      </c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  <c r="AP20" s="13"/>
      <c r="AQ20" s="13"/>
      <c r="AR20" s="13"/>
      <c r="AS20" s="13"/>
      <c r="AT20" s="13"/>
      <c r="AU20" s="13"/>
      <c r="AV20" s="13"/>
      <c r="AW20" s="13"/>
      <c r="AX20" s="13"/>
      <c r="AY20" s="13"/>
      <c r="AZ20" s="13"/>
      <c r="BA20" s="13"/>
      <c r="BB20" s="13"/>
    </row>
    <row r="21" spans="1:54" s="168" customFormat="1" ht="17.25" customHeight="1" x14ac:dyDescent="0.25">
      <c r="A21" s="1133" t="s">
        <v>308</v>
      </c>
      <c r="B21" s="166">
        <f>65+4.1252532708701</f>
        <v>69.125253270870104</v>
      </c>
      <c r="C21" s="166">
        <v>4.1663209999999999</v>
      </c>
      <c r="D21" s="480">
        <f>65+0.3989494049623</f>
        <v>65.398949404962295</v>
      </c>
      <c r="E21" s="137">
        <f>65+0.483461125243096</f>
        <v>65.483461125243096</v>
      </c>
      <c r="F21" s="409">
        <f>65+0.0919915238246318</f>
        <v>65.091991523824632</v>
      </c>
      <c r="G21" s="138">
        <f>65+1.01535459057666</f>
        <v>66.015354590576663</v>
      </c>
      <c r="H21" s="132">
        <f>65+0.0895021004857171</f>
        <v>65.089502100485717</v>
      </c>
      <c r="I21" s="480">
        <f>65+4.9319056202793</f>
        <v>69.931905620279295</v>
      </c>
      <c r="J21" s="882">
        <f>65+3.74291442960059</f>
        <v>68.742914429600589</v>
      </c>
      <c r="K21" s="747">
        <f>65+3.60101668301471</f>
        <v>68.601016683014706</v>
      </c>
      <c r="L21" s="747">
        <f>65+5.14710416616849</f>
        <v>70.147104166168489</v>
      </c>
      <c r="M21" s="747">
        <f>65+3.76134794450404</f>
        <v>68.761347944504038</v>
      </c>
      <c r="N21" s="747">
        <f>65+5.12679445859074</f>
        <v>70.126794458590737</v>
      </c>
      <c r="O21" s="747">
        <f>65+4.26635459057665</f>
        <v>69.266354590576654</v>
      </c>
      <c r="P21" s="747">
        <f>65+7.07436680957039</f>
        <v>72.074366809570392</v>
      </c>
      <c r="Q21" s="747">
        <f>65+4.47335459057663</f>
        <v>69.473354590576633</v>
      </c>
      <c r="R21" s="747">
        <f>65+3.23050134618495</f>
        <v>68.230501346184951</v>
      </c>
      <c r="S21" s="747">
        <f>65+1.31835459057666</f>
        <v>66.318354590576661</v>
      </c>
      <c r="T21" s="747">
        <f>65+5.21432085054248</f>
        <v>70.214320850542478</v>
      </c>
      <c r="U21" s="747">
        <f>65+5.5895129575504</f>
        <v>70.589512957550397</v>
      </c>
      <c r="V21" s="747">
        <f>65+4.47012779192409</f>
        <v>69.470127791924085</v>
      </c>
      <c r="W21" s="747">
        <f>65+4.41035459057667</f>
        <v>69.410354590576674</v>
      </c>
      <c r="X21" s="709">
        <f>65+2.07147005888105</f>
        <v>67.071470058881047</v>
      </c>
      <c r="Y21" s="824">
        <f>65+2.69383692088991</f>
        <v>67.693836920889908</v>
      </c>
      <c r="Z21" s="167"/>
      <c r="AA21" s="167"/>
      <c r="AB21" s="167"/>
      <c r="AC21" s="167"/>
      <c r="AD21" s="167"/>
      <c r="AE21" s="167"/>
      <c r="AF21" s="167"/>
      <c r="AG21" s="167"/>
      <c r="AH21" s="167"/>
      <c r="AI21" s="167"/>
      <c r="AJ21" s="167"/>
      <c r="AK21" s="167"/>
      <c r="AL21" s="167"/>
      <c r="AM21" s="167"/>
      <c r="AN21" s="167"/>
      <c r="AO21" s="167"/>
      <c r="AP21" s="167"/>
      <c r="AQ21" s="167"/>
      <c r="AR21" s="167"/>
      <c r="AS21" s="167"/>
      <c r="AT21" s="167"/>
      <c r="AU21" s="167"/>
      <c r="AV21" s="167"/>
      <c r="AW21" s="167"/>
      <c r="AX21" s="167"/>
      <c r="AY21" s="167"/>
      <c r="AZ21" s="167"/>
      <c r="BA21" s="167"/>
      <c r="BB21" s="167"/>
    </row>
    <row r="22" spans="1:54" s="89" customFormat="1" ht="17.25" customHeight="1" x14ac:dyDescent="0.25">
      <c r="A22" s="481" t="s">
        <v>258</v>
      </c>
      <c r="B22" s="101">
        <v>100</v>
      </c>
      <c r="C22" s="101">
        <v>110.9971</v>
      </c>
      <c r="D22" s="472">
        <v>103.41143778579817</v>
      </c>
      <c r="E22" s="240">
        <v>97.513870625545451</v>
      </c>
      <c r="F22" s="103">
        <v>101.79792622033558</v>
      </c>
      <c r="G22" s="105">
        <v>105.63034059164724</v>
      </c>
      <c r="H22" s="473">
        <v>102.8060465454117</v>
      </c>
      <c r="I22" s="472">
        <v>99.640414755932881</v>
      </c>
      <c r="J22" s="880">
        <v>97.417761313490601</v>
      </c>
      <c r="K22" s="539">
        <v>110.14885048077521</v>
      </c>
      <c r="L22" s="539">
        <v>103.07059962935244</v>
      </c>
      <c r="M22" s="539">
        <v>98.497705454957696</v>
      </c>
      <c r="N22" s="539">
        <v>99.43783686885638</v>
      </c>
      <c r="O22" s="539">
        <v>96.748469029840521</v>
      </c>
      <c r="P22" s="539">
        <v>100.50078837518063</v>
      </c>
      <c r="Q22" s="539">
        <v>92.900536543123096</v>
      </c>
      <c r="R22" s="539">
        <v>97.204618384608011</v>
      </c>
      <c r="S22" s="539">
        <v>100.05218907341656</v>
      </c>
      <c r="T22" s="539">
        <v>103.07776568476595</v>
      </c>
      <c r="U22" s="539">
        <v>104.54487818826188</v>
      </c>
      <c r="V22" s="539">
        <v>101.81863527958792</v>
      </c>
      <c r="W22" s="539">
        <v>99.384511290333151</v>
      </c>
      <c r="X22" s="322">
        <v>93.170634752129089</v>
      </c>
      <c r="Y22" s="822">
        <v>100.07637826202128</v>
      </c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  <c r="AU22" s="13"/>
      <c r="AV22" s="13"/>
      <c r="AW22" s="13"/>
      <c r="AX22" s="13"/>
      <c r="AY22" s="13"/>
      <c r="AZ22" s="13"/>
      <c r="BA22" s="13"/>
      <c r="BB22" s="13"/>
    </row>
    <row r="23" spans="1:54" s="474" customFormat="1" ht="18" customHeight="1" x14ac:dyDescent="0.25">
      <c r="A23" s="152" t="s">
        <v>11</v>
      </c>
      <c r="B23" s="802"/>
      <c r="C23" s="802"/>
      <c r="D23" s="913"/>
      <c r="E23" s="914"/>
      <c r="F23" s="914"/>
      <c r="G23" s="914"/>
      <c r="H23" s="914"/>
      <c r="I23" s="913"/>
      <c r="J23" s="915"/>
      <c r="K23" s="799"/>
      <c r="L23" s="799"/>
      <c r="M23" s="799"/>
      <c r="N23" s="799"/>
      <c r="O23" s="799"/>
      <c r="P23" s="799"/>
      <c r="Q23" s="799"/>
      <c r="R23" s="799"/>
      <c r="S23" s="799"/>
      <c r="T23" s="799"/>
      <c r="U23" s="799"/>
      <c r="V23" s="799"/>
      <c r="W23" s="799"/>
      <c r="X23" s="799"/>
      <c r="Y23" s="819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/>
      <c r="AU23" s="13"/>
      <c r="AV23" s="13"/>
      <c r="AW23" s="13"/>
      <c r="AX23" s="13"/>
      <c r="AY23" s="13"/>
      <c r="AZ23" s="13"/>
      <c r="BA23" s="13"/>
      <c r="BB23" s="13"/>
    </row>
    <row r="24" spans="1:54" s="92" customFormat="1" ht="17.25" customHeight="1" x14ac:dyDescent="0.25">
      <c r="A24" s="375" t="s">
        <v>310</v>
      </c>
      <c r="B24" s="170">
        <v>7.4370393049538421</v>
      </c>
      <c r="C24" s="170"/>
      <c r="D24" s="482">
        <v>7.5093911072928297</v>
      </c>
      <c r="E24" s="483" t="s">
        <v>180</v>
      </c>
      <c r="F24" s="406">
        <v>7.6328144471459876</v>
      </c>
      <c r="G24" s="484">
        <v>7.2961092199244506</v>
      </c>
      <c r="H24" s="485">
        <v>7.599249654808049</v>
      </c>
      <c r="I24" s="482">
        <v>7.3978842765154136</v>
      </c>
      <c r="J24" s="883" t="s">
        <v>182</v>
      </c>
      <c r="K24" s="847" t="s">
        <v>152</v>
      </c>
      <c r="L24" s="847">
        <v>7.241119873174128</v>
      </c>
      <c r="M24" s="847">
        <v>7.404452682785144</v>
      </c>
      <c r="N24" s="847" t="s">
        <v>229</v>
      </c>
      <c r="O24" s="847">
        <v>7.4210706641071367</v>
      </c>
      <c r="P24" s="847">
        <v>7.458262253733202</v>
      </c>
      <c r="Q24" s="847">
        <v>7.4011256617198136</v>
      </c>
      <c r="R24" s="847">
        <v>7.684351114801629</v>
      </c>
      <c r="S24" s="847">
        <v>7.4769073037307807</v>
      </c>
      <c r="T24" s="847" t="s">
        <v>181</v>
      </c>
      <c r="U24" s="847" t="s">
        <v>152</v>
      </c>
      <c r="V24" s="847" t="s">
        <v>181</v>
      </c>
      <c r="W24" s="847">
        <v>7.4645159087774546</v>
      </c>
      <c r="X24" s="785">
        <v>7.458262253733202</v>
      </c>
      <c r="Y24" s="865">
        <v>7.4031011196527778</v>
      </c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  <c r="AP24" s="13"/>
      <c r="AQ24" s="13"/>
      <c r="AR24" s="13"/>
      <c r="AS24" s="13"/>
      <c r="AT24" s="13"/>
      <c r="AU24" s="13"/>
      <c r="AV24" s="13"/>
      <c r="AW24" s="13"/>
      <c r="AX24" s="13"/>
      <c r="AY24" s="13"/>
      <c r="AZ24" s="13"/>
      <c r="BA24" s="13"/>
      <c r="BB24" s="13"/>
    </row>
    <row r="25" spans="1:54" s="111" customFormat="1" ht="18" customHeight="1" x14ac:dyDescent="0.25">
      <c r="A25" s="151" t="s">
        <v>12</v>
      </c>
      <c r="B25" s="804"/>
      <c r="C25" s="804"/>
      <c r="D25" s="909"/>
      <c r="E25" s="910"/>
      <c r="F25" s="910"/>
      <c r="G25" s="910"/>
      <c r="H25" s="911"/>
      <c r="I25" s="909"/>
      <c r="J25" s="912"/>
      <c r="K25" s="805"/>
      <c r="L25" s="805"/>
      <c r="M25" s="805"/>
      <c r="N25" s="805"/>
      <c r="O25" s="805"/>
      <c r="P25" s="805"/>
      <c r="Q25" s="805"/>
      <c r="R25" s="805"/>
      <c r="S25" s="805"/>
      <c r="T25" s="805"/>
      <c r="U25" s="805"/>
      <c r="V25" s="805"/>
      <c r="W25" s="805"/>
      <c r="X25" s="805"/>
      <c r="Y25" s="828"/>
      <c r="Z25" s="110"/>
      <c r="AA25" s="110"/>
      <c r="AB25" s="110"/>
      <c r="AC25" s="110"/>
      <c r="AD25" s="110"/>
      <c r="AE25" s="110"/>
      <c r="AF25" s="110"/>
      <c r="AG25" s="110"/>
      <c r="AH25" s="110"/>
      <c r="AI25" s="110"/>
      <c r="AJ25" s="110"/>
      <c r="AK25" s="110"/>
      <c r="AL25" s="110"/>
      <c r="AM25" s="110"/>
      <c r="AN25" s="110"/>
      <c r="AO25" s="110"/>
      <c r="AP25" s="110"/>
      <c r="AQ25" s="110"/>
      <c r="AR25" s="110"/>
      <c r="AS25" s="110"/>
      <c r="AT25" s="110"/>
      <c r="AU25" s="110"/>
      <c r="AV25" s="110"/>
      <c r="AW25" s="110"/>
      <c r="AX25" s="110"/>
      <c r="AY25" s="110"/>
      <c r="AZ25" s="110"/>
      <c r="BA25" s="110"/>
      <c r="BB25" s="110"/>
    </row>
    <row r="26" spans="1:54" s="491" customFormat="1" ht="17.25" customHeight="1" x14ac:dyDescent="0.25">
      <c r="A26" s="171" t="s">
        <v>311</v>
      </c>
      <c r="B26" s="486">
        <v>6.4416666666666664</v>
      </c>
      <c r="C26" s="486"/>
      <c r="D26" s="487">
        <v>4.7333333333333334</v>
      </c>
      <c r="E26" s="410" t="s">
        <v>5</v>
      </c>
      <c r="F26" s="488">
        <v>3.85</v>
      </c>
      <c r="G26" s="489">
        <v>3.65</v>
      </c>
      <c r="H26" s="490" t="s">
        <v>77</v>
      </c>
      <c r="I26" s="487">
        <v>6.9599999999999991</v>
      </c>
      <c r="J26" s="884" t="s">
        <v>5</v>
      </c>
      <c r="K26" s="885" t="s">
        <v>5</v>
      </c>
      <c r="L26" s="885">
        <v>5.7</v>
      </c>
      <c r="M26" s="410">
        <v>6.75</v>
      </c>
      <c r="N26" s="410" t="s">
        <v>5</v>
      </c>
      <c r="O26" s="410">
        <v>6.75</v>
      </c>
      <c r="P26" s="410">
        <v>7.75</v>
      </c>
      <c r="Q26" s="410">
        <v>6.7</v>
      </c>
      <c r="R26" s="410" t="s">
        <v>5</v>
      </c>
      <c r="S26" s="848">
        <v>6.6</v>
      </c>
      <c r="T26" s="885" t="s">
        <v>5</v>
      </c>
      <c r="U26" s="410" t="s">
        <v>5</v>
      </c>
      <c r="V26" s="410" t="s">
        <v>5</v>
      </c>
      <c r="W26" s="848">
        <v>7.85</v>
      </c>
      <c r="X26" s="713">
        <v>7.1</v>
      </c>
      <c r="Y26" s="894" t="s">
        <v>5</v>
      </c>
      <c r="Z26" s="82"/>
      <c r="AA26" s="82"/>
      <c r="AB26" s="82"/>
      <c r="AC26" s="82"/>
      <c r="AD26" s="82"/>
      <c r="AE26" s="82"/>
      <c r="AF26" s="82"/>
      <c r="AG26" s="82"/>
      <c r="AH26" s="82"/>
      <c r="AI26" s="82"/>
      <c r="AJ26" s="82"/>
      <c r="AK26" s="82"/>
      <c r="AL26" s="82"/>
      <c r="AM26" s="82"/>
      <c r="AN26" s="82"/>
      <c r="AO26" s="82"/>
      <c r="AP26" s="82"/>
      <c r="AQ26" s="82"/>
      <c r="AR26" s="82"/>
      <c r="AS26" s="82"/>
      <c r="AT26" s="82"/>
      <c r="AU26" s="82"/>
      <c r="AV26" s="82"/>
      <c r="AW26" s="82"/>
      <c r="AX26" s="82"/>
      <c r="AY26" s="82"/>
      <c r="AZ26" s="82"/>
      <c r="BA26" s="82"/>
      <c r="BB26" s="82"/>
    </row>
    <row r="27" spans="1:54" s="491" customFormat="1" ht="17.25" customHeight="1" x14ac:dyDescent="0.25">
      <c r="A27" s="171" t="s">
        <v>312</v>
      </c>
      <c r="B27" s="486">
        <v>6.333333333333333</v>
      </c>
      <c r="C27" s="145"/>
      <c r="D27" s="480">
        <v>5.6000000000000005</v>
      </c>
      <c r="E27" s="411">
        <v>5.9</v>
      </c>
      <c r="F27" s="412">
        <v>4.4000000000000004</v>
      </c>
      <c r="G27" s="492">
        <v>6.9</v>
      </c>
      <c r="H27" s="493">
        <v>5.5</v>
      </c>
      <c r="I27" s="480">
        <v>6.7200000000000006</v>
      </c>
      <c r="J27" s="886" t="s">
        <v>5</v>
      </c>
      <c r="K27" s="779">
        <v>7.8</v>
      </c>
      <c r="L27" s="779">
        <v>6.3</v>
      </c>
      <c r="M27" s="780">
        <v>7</v>
      </c>
      <c r="N27" s="780">
        <v>6.4</v>
      </c>
      <c r="O27" s="780">
        <v>6.4</v>
      </c>
      <c r="P27" s="780">
        <v>7</v>
      </c>
      <c r="Q27" s="780">
        <v>6.4</v>
      </c>
      <c r="R27" s="780">
        <v>7.5</v>
      </c>
      <c r="S27" s="885">
        <v>6.6</v>
      </c>
      <c r="T27" s="885">
        <v>6.3</v>
      </c>
      <c r="U27" s="780">
        <v>6.8</v>
      </c>
      <c r="V27" s="780">
        <v>7.2</v>
      </c>
      <c r="W27" s="885">
        <v>6.9</v>
      </c>
      <c r="X27" s="780">
        <v>5.9</v>
      </c>
      <c r="Y27" s="830">
        <v>6.6</v>
      </c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82"/>
      <c r="AK27" s="82"/>
      <c r="AL27" s="82"/>
      <c r="AM27" s="82"/>
      <c r="AN27" s="82"/>
      <c r="AO27" s="82"/>
      <c r="AP27" s="82"/>
      <c r="AQ27" s="82"/>
      <c r="AR27" s="82"/>
      <c r="AS27" s="82"/>
      <c r="AT27" s="82"/>
      <c r="AU27" s="82"/>
      <c r="AV27" s="82"/>
      <c r="AW27" s="82"/>
      <c r="AX27" s="82"/>
      <c r="AY27" s="82"/>
      <c r="AZ27" s="82"/>
      <c r="BA27" s="82"/>
      <c r="BB27" s="82"/>
    </row>
    <row r="28" spans="1:54" s="495" customFormat="1" ht="17.25" customHeight="1" x14ac:dyDescent="0.25">
      <c r="A28" s="172" t="s">
        <v>313</v>
      </c>
      <c r="B28" s="486">
        <v>6.083333333333333</v>
      </c>
      <c r="C28" s="146"/>
      <c r="D28" s="480">
        <v>5.8999999999999995</v>
      </c>
      <c r="E28" s="413" t="s">
        <v>230</v>
      </c>
      <c r="F28" s="414">
        <v>5.8</v>
      </c>
      <c r="G28" s="494">
        <v>4.9000000000000004</v>
      </c>
      <c r="H28" s="135">
        <v>7</v>
      </c>
      <c r="I28" s="480">
        <v>6.1400000000000006</v>
      </c>
      <c r="J28" s="883" t="s">
        <v>233</v>
      </c>
      <c r="K28" s="783">
        <v>1.9</v>
      </c>
      <c r="L28" s="783">
        <v>3.1</v>
      </c>
      <c r="M28" s="783">
        <v>7.3</v>
      </c>
      <c r="N28" s="783" t="s">
        <v>182</v>
      </c>
      <c r="O28" s="783">
        <v>6.7</v>
      </c>
      <c r="P28" s="783">
        <v>7.1</v>
      </c>
      <c r="Q28" s="783">
        <v>7</v>
      </c>
      <c r="R28" s="783">
        <v>7</v>
      </c>
      <c r="S28" s="773">
        <v>7.2</v>
      </c>
      <c r="T28" s="772">
        <v>7.2</v>
      </c>
      <c r="U28" s="783" t="s">
        <v>179</v>
      </c>
      <c r="V28" s="783" t="s">
        <v>152</v>
      </c>
      <c r="W28" s="773">
        <v>6.5</v>
      </c>
      <c r="X28" s="784">
        <v>7.1</v>
      </c>
      <c r="Y28" s="867">
        <v>7.1</v>
      </c>
      <c r="Z28" s="82"/>
      <c r="AA28" s="82"/>
      <c r="AB28" s="82"/>
      <c r="AC28" s="82"/>
      <c r="AD28" s="82"/>
      <c r="AE28" s="82"/>
      <c r="AF28" s="82"/>
      <c r="AG28" s="82"/>
      <c r="AH28" s="82"/>
      <c r="AI28" s="82"/>
      <c r="AJ28" s="82"/>
      <c r="AK28" s="82"/>
      <c r="AL28" s="82"/>
      <c r="AM28" s="82"/>
      <c r="AN28" s="82"/>
      <c r="AO28" s="82"/>
      <c r="AP28" s="82"/>
      <c r="AQ28" s="82"/>
      <c r="AR28" s="82"/>
      <c r="AS28" s="82"/>
      <c r="AT28" s="82"/>
      <c r="AU28" s="82"/>
      <c r="AV28" s="82"/>
      <c r="AW28" s="82"/>
      <c r="AX28" s="82"/>
      <c r="AY28" s="82"/>
      <c r="AZ28" s="82"/>
      <c r="BA28" s="82"/>
      <c r="BB28" s="82"/>
    </row>
    <row r="29" spans="1:54" s="491" customFormat="1" ht="17.25" customHeight="1" x14ac:dyDescent="0.25">
      <c r="A29" s="172" t="s">
        <v>314</v>
      </c>
      <c r="B29" s="486">
        <v>6.0333333333333341</v>
      </c>
      <c r="C29" s="146"/>
      <c r="D29" s="480">
        <v>6</v>
      </c>
      <c r="E29" s="413">
        <v>7.4</v>
      </c>
      <c r="F29" s="406">
        <v>6.2</v>
      </c>
      <c r="G29" s="496">
        <v>5.0999999999999996</v>
      </c>
      <c r="H29" s="497">
        <v>6.7</v>
      </c>
      <c r="I29" s="482">
        <v>6</v>
      </c>
      <c r="J29" s="883">
        <v>7.7</v>
      </c>
      <c r="K29" s="847">
        <v>4.8</v>
      </c>
      <c r="L29" s="783">
        <v>4.4000000000000004</v>
      </c>
      <c r="M29" s="783">
        <v>6.4</v>
      </c>
      <c r="N29" s="783">
        <v>7.6</v>
      </c>
      <c r="O29" s="783">
        <v>7</v>
      </c>
      <c r="P29" s="783">
        <v>5.8</v>
      </c>
      <c r="Q29" s="847">
        <v>4.4000000000000004</v>
      </c>
      <c r="R29" s="847">
        <v>6</v>
      </c>
      <c r="S29" s="783">
        <v>5.6</v>
      </c>
      <c r="T29" s="847">
        <v>7.3</v>
      </c>
      <c r="U29" s="783">
        <v>5.0999999999999996</v>
      </c>
      <c r="V29" s="783">
        <v>3.8</v>
      </c>
      <c r="W29" s="784">
        <v>6.4</v>
      </c>
      <c r="X29" s="783">
        <v>6.7</v>
      </c>
      <c r="Y29" s="865">
        <v>2.4</v>
      </c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82"/>
      <c r="AL29" s="82"/>
      <c r="AM29" s="82"/>
      <c r="AN29" s="82"/>
      <c r="AO29" s="82"/>
      <c r="AP29" s="82"/>
      <c r="AQ29" s="82"/>
      <c r="AR29" s="82"/>
      <c r="AS29" s="82"/>
      <c r="AT29" s="82"/>
      <c r="AU29" s="82"/>
      <c r="AV29" s="82"/>
      <c r="AW29" s="82"/>
      <c r="AX29" s="82"/>
      <c r="AY29" s="82"/>
      <c r="AZ29" s="82"/>
      <c r="BA29" s="82"/>
      <c r="BB29" s="82"/>
    </row>
    <row r="30" spans="1:54" s="36" customFormat="1" ht="10.5" customHeight="1" x14ac:dyDescent="0.3">
      <c r="A30" s="919"/>
      <c r="B30" s="897"/>
      <c r="C30" s="897"/>
      <c r="D30" s="898"/>
      <c r="E30" s="808"/>
      <c r="F30" s="808"/>
      <c r="G30" s="808"/>
      <c r="H30" s="907"/>
      <c r="I30" s="898"/>
      <c r="J30" s="908"/>
      <c r="K30" s="808"/>
      <c r="L30" s="808"/>
      <c r="M30" s="808"/>
      <c r="N30" s="808"/>
      <c r="O30" s="808"/>
      <c r="P30" s="808"/>
      <c r="Q30" s="808"/>
      <c r="R30" s="808"/>
      <c r="S30" s="808"/>
      <c r="T30" s="808"/>
      <c r="U30" s="808"/>
      <c r="V30" s="808"/>
      <c r="W30" s="808"/>
      <c r="X30" s="808"/>
      <c r="Y30" s="832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</row>
    <row r="31" spans="1:54" s="87" customFormat="1" ht="17.25" customHeight="1" x14ac:dyDescent="0.25">
      <c r="A31" s="148" t="s">
        <v>285</v>
      </c>
      <c r="B31" s="814"/>
      <c r="C31" s="814"/>
      <c r="D31" s="899"/>
      <c r="E31" s="432">
        <v>2023</v>
      </c>
      <c r="F31" s="416">
        <v>2005</v>
      </c>
      <c r="G31" s="417">
        <v>1998</v>
      </c>
      <c r="H31" s="418">
        <v>2017</v>
      </c>
      <c r="I31" s="415" t="s">
        <v>5</v>
      </c>
      <c r="J31" s="887">
        <v>2024</v>
      </c>
      <c r="K31" s="345">
        <v>2021</v>
      </c>
      <c r="L31" s="660">
        <v>2002</v>
      </c>
      <c r="M31" s="345">
        <v>2014</v>
      </c>
      <c r="N31" s="345">
        <v>2023</v>
      </c>
      <c r="O31" s="660">
        <v>2005</v>
      </c>
      <c r="P31" s="345">
        <v>2018</v>
      </c>
      <c r="Q31" s="660">
        <v>2008</v>
      </c>
      <c r="R31" s="345">
        <v>2020</v>
      </c>
      <c r="S31" s="345">
        <v>2011</v>
      </c>
      <c r="T31" s="345">
        <v>2021</v>
      </c>
      <c r="U31" s="345">
        <v>2022</v>
      </c>
      <c r="V31" s="345">
        <v>2023</v>
      </c>
      <c r="W31" s="345">
        <v>2012</v>
      </c>
      <c r="X31" s="432">
        <v>2018</v>
      </c>
      <c r="Y31" s="555">
        <v>2020</v>
      </c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</row>
    <row r="32" spans="1:54" s="87" customFormat="1" ht="43.5" customHeight="1" x14ac:dyDescent="0.25">
      <c r="A32" s="148" t="s">
        <v>367</v>
      </c>
      <c r="B32" s="814"/>
      <c r="C32" s="814"/>
      <c r="D32" s="899"/>
      <c r="E32" s="1206" t="s">
        <v>395</v>
      </c>
      <c r="F32" s="1206" t="s">
        <v>398</v>
      </c>
      <c r="G32" s="1206" t="s">
        <v>395</v>
      </c>
      <c r="H32" s="1206" t="s">
        <v>395</v>
      </c>
      <c r="I32" s="415"/>
      <c r="J32" s="1199" t="s">
        <v>379</v>
      </c>
      <c r="K32" s="1199" t="s">
        <v>383</v>
      </c>
      <c r="L32" s="1199" t="s">
        <v>383</v>
      </c>
      <c r="M32" s="1199" t="s">
        <v>380</v>
      </c>
      <c r="N32" s="278" t="s">
        <v>372</v>
      </c>
      <c r="O32" s="278" t="s">
        <v>372</v>
      </c>
      <c r="P32" s="1199" t="s">
        <v>370</v>
      </c>
      <c r="Q32" s="1199" t="s">
        <v>379</v>
      </c>
      <c r="R32" s="1199" t="s">
        <v>381</v>
      </c>
      <c r="S32" s="1199" t="s">
        <v>383</v>
      </c>
      <c r="T32" s="278" t="s">
        <v>372</v>
      </c>
      <c r="U32" s="1199" t="s">
        <v>383</v>
      </c>
      <c r="V32" s="278" t="s">
        <v>371</v>
      </c>
      <c r="W32" s="278" t="s">
        <v>372</v>
      </c>
      <c r="X32" s="1199" t="s">
        <v>379</v>
      </c>
      <c r="Y32" s="1199" t="s">
        <v>383</v>
      </c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</row>
    <row r="33" spans="1:54" s="87" customFormat="1" ht="51" customHeight="1" x14ac:dyDescent="0.25">
      <c r="A33" s="148" t="s">
        <v>384</v>
      </c>
      <c r="B33" s="814"/>
      <c r="C33" s="814"/>
      <c r="D33" s="899"/>
      <c r="E33" s="1206" t="s">
        <v>396</v>
      </c>
      <c r="F33" s="1204" t="s">
        <v>376</v>
      </c>
      <c r="G33" s="1206" t="s">
        <v>396</v>
      </c>
      <c r="H33" s="1206" t="s">
        <v>396</v>
      </c>
      <c r="I33" s="415"/>
      <c r="J33" s="1199" t="s">
        <v>374</v>
      </c>
      <c r="K33" s="338" t="s">
        <v>376</v>
      </c>
      <c r="L33" s="338" t="s">
        <v>376</v>
      </c>
      <c r="M33" s="1199" t="s">
        <v>381</v>
      </c>
      <c r="N33" s="1199" t="s">
        <v>374</v>
      </c>
      <c r="O33" s="278" t="s">
        <v>386</v>
      </c>
      <c r="P33" s="1199" t="s">
        <v>378</v>
      </c>
      <c r="Q33" s="1199" t="s">
        <v>374</v>
      </c>
      <c r="R33" s="1199" t="s">
        <v>381</v>
      </c>
      <c r="S33" s="338" t="s">
        <v>376</v>
      </c>
      <c r="T33" s="278" t="s">
        <v>377</v>
      </c>
      <c r="U33" s="338" t="s">
        <v>376</v>
      </c>
      <c r="V33" s="278" t="s">
        <v>376</v>
      </c>
      <c r="W33" s="278" t="s">
        <v>377</v>
      </c>
      <c r="X33" s="1199" t="s">
        <v>374</v>
      </c>
      <c r="Y33" s="338" t="s">
        <v>376</v>
      </c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  <c r="BB33" s="13"/>
    </row>
    <row r="34" spans="1:54" s="87" customFormat="1" ht="15" customHeight="1" x14ac:dyDescent="0.25">
      <c r="A34" s="152" t="s">
        <v>6</v>
      </c>
      <c r="B34" s="810"/>
      <c r="C34" s="810"/>
      <c r="D34" s="900"/>
      <c r="E34" s="905"/>
      <c r="F34" s="905"/>
      <c r="G34" s="905"/>
      <c r="H34" s="905"/>
      <c r="I34" s="900"/>
      <c r="J34" s="906"/>
      <c r="K34" s="812"/>
      <c r="L34" s="812"/>
      <c r="M34" s="812"/>
      <c r="N34" s="812"/>
      <c r="O34" s="812"/>
      <c r="P34" s="812"/>
      <c r="Q34" s="812"/>
      <c r="R34" s="812"/>
      <c r="S34" s="812"/>
      <c r="T34" s="812"/>
      <c r="U34" s="812"/>
      <c r="V34" s="812"/>
      <c r="W34" s="812"/>
      <c r="X34" s="812"/>
      <c r="Y34" s="834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</row>
    <row r="35" spans="1:54" s="109" customFormat="1" ht="17.25" customHeight="1" x14ac:dyDescent="0.25">
      <c r="A35" s="1183" t="s">
        <v>22</v>
      </c>
      <c r="B35" s="815"/>
      <c r="C35" s="815"/>
      <c r="D35" s="901"/>
      <c r="E35" s="419">
        <v>2</v>
      </c>
      <c r="F35" s="420">
        <v>14</v>
      </c>
      <c r="G35" s="421">
        <v>6</v>
      </c>
      <c r="H35" s="422">
        <v>6</v>
      </c>
      <c r="I35" s="590" t="s">
        <v>5</v>
      </c>
      <c r="J35" s="888" t="s">
        <v>5</v>
      </c>
      <c r="K35" s="789">
        <v>4</v>
      </c>
      <c r="L35" s="789">
        <v>12</v>
      </c>
      <c r="M35" s="789">
        <v>6</v>
      </c>
      <c r="N35" s="789">
        <v>2</v>
      </c>
      <c r="O35" s="789">
        <v>8</v>
      </c>
      <c r="P35" s="789">
        <v>4</v>
      </c>
      <c r="Q35" s="789">
        <v>6</v>
      </c>
      <c r="R35" s="789">
        <v>4</v>
      </c>
      <c r="S35" s="789">
        <v>8</v>
      </c>
      <c r="T35" s="789">
        <v>4</v>
      </c>
      <c r="U35" s="789">
        <v>4</v>
      </c>
      <c r="V35" s="789">
        <v>2</v>
      </c>
      <c r="W35" s="789">
        <v>7</v>
      </c>
      <c r="X35" s="791">
        <v>4</v>
      </c>
      <c r="Y35" s="835">
        <v>4</v>
      </c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</row>
    <row r="36" spans="1:54" s="89" customFormat="1" ht="17.25" customHeight="1" x14ac:dyDescent="0.25">
      <c r="A36" s="173" t="s">
        <v>19</v>
      </c>
      <c r="B36" s="816"/>
      <c r="C36" s="816"/>
      <c r="D36" s="902"/>
      <c r="E36" s="423">
        <v>6</v>
      </c>
      <c r="F36" s="424">
        <v>28</v>
      </c>
      <c r="G36" s="425">
        <v>10</v>
      </c>
      <c r="H36" s="426">
        <v>11</v>
      </c>
      <c r="I36" s="591" t="s">
        <v>5</v>
      </c>
      <c r="J36" s="889">
        <v>6</v>
      </c>
      <c r="K36" s="850">
        <v>11</v>
      </c>
      <c r="L36" s="850">
        <v>28</v>
      </c>
      <c r="M36" s="850">
        <v>18</v>
      </c>
      <c r="N36" s="850">
        <v>6</v>
      </c>
      <c r="O36" s="850">
        <v>10</v>
      </c>
      <c r="P36" s="850">
        <v>12</v>
      </c>
      <c r="Q36" s="850">
        <v>10</v>
      </c>
      <c r="R36" s="850">
        <v>12</v>
      </c>
      <c r="S36" s="850">
        <v>10</v>
      </c>
      <c r="T36" s="850">
        <v>11</v>
      </c>
      <c r="U36" s="850">
        <v>9</v>
      </c>
      <c r="V36" s="850">
        <v>6</v>
      </c>
      <c r="W36" s="850">
        <v>10</v>
      </c>
      <c r="X36" s="857">
        <v>12</v>
      </c>
      <c r="Y36" s="836">
        <v>12</v>
      </c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</row>
    <row r="37" spans="1:54" s="89" customFormat="1" ht="17.25" customHeight="1" x14ac:dyDescent="0.25">
      <c r="A37" s="173" t="s">
        <v>20</v>
      </c>
      <c r="B37" s="903"/>
      <c r="C37" s="903"/>
      <c r="D37" s="904"/>
      <c r="E37" s="427">
        <v>6</v>
      </c>
      <c r="F37" s="428">
        <v>28</v>
      </c>
      <c r="G37" s="429">
        <v>10</v>
      </c>
      <c r="H37" s="141">
        <v>12</v>
      </c>
      <c r="I37" s="592" t="s">
        <v>5</v>
      </c>
      <c r="J37" s="890">
        <v>6</v>
      </c>
      <c r="K37" s="891">
        <v>8</v>
      </c>
      <c r="L37" s="891">
        <v>28</v>
      </c>
      <c r="M37" s="891">
        <v>15</v>
      </c>
      <c r="N37" s="891">
        <v>6</v>
      </c>
      <c r="O37" s="891">
        <v>10</v>
      </c>
      <c r="P37" s="891">
        <v>13</v>
      </c>
      <c r="Q37" s="891">
        <v>10</v>
      </c>
      <c r="R37" s="891">
        <v>11</v>
      </c>
      <c r="S37" s="891">
        <v>10</v>
      </c>
      <c r="T37" s="891">
        <v>8</v>
      </c>
      <c r="U37" s="891">
        <v>6</v>
      </c>
      <c r="V37" s="891">
        <v>6</v>
      </c>
      <c r="W37" s="891">
        <v>11</v>
      </c>
      <c r="X37" s="892">
        <v>13</v>
      </c>
      <c r="Y37" s="895">
        <v>11</v>
      </c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</row>
    <row r="38" spans="1:54" s="89" customFormat="1" ht="17.25" customHeight="1" thickBot="1" x14ac:dyDescent="0.3">
      <c r="A38" s="174" t="s">
        <v>21</v>
      </c>
      <c r="B38" s="817"/>
      <c r="C38" s="817"/>
      <c r="D38" s="902"/>
      <c r="E38" s="423">
        <v>6</v>
      </c>
      <c r="F38" s="424">
        <v>27</v>
      </c>
      <c r="G38" s="425">
        <v>11</v>
      </c>
      <c r="H38" s="426">
        <v>12</v>
      </c>
      <c r="I38" s="591" t="s">
        <v>5</v>
      </c>
      <c r="J38" s="893">
        <v>6</v>
      </c>
      <c r="K38" s="850">
        <v>6</v>
      </c>
      <c r="L38" s="850">
        <v>27</v>
      </c>
      <c r="M38" s="850">
        <v>14</v>
      </c>
      <c r="N38" s="850">
        <v>6</v>
      </c>
      <c r="O38" s="850">
        <v>11</v>
      </c>
      <c r="P38" s="850">
        <v>13</v>
      </c>
      <c r="Q38" s="850">
        <v>11</v>
      </c>
      <c r="R38" s="850">
        <v>9</v>
      </c>
      <c r="S38" s="850">
        <v>10</v>
      </c>
      <c r="T38" s="850">
        <v>6</v>
      </c>
      <c r="U38" s="850">
        <v>6</v>
      </c>
      <c r="V38" s="850">
        <v>6</v>
      </c>
      <c r="W38" s="850">
        <v>11</v>
      </c>
      <c r="X38" s="743">
        <v>13</v>
      </c>
      <c r="Y38" s="837">
        <v>9</v>
      </c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</row>
    <row r="39" spans="1:54" x14ac:dyDescent="0.25">
      <c r="A39" s="153"/>
      <c r="B39" s="156"/>
      <c r="C39" s="156"/>
      <c r="D39" s="154"/>
      <c r="E39" s="154"/>
      <c r="F39" s="154"/>
      <c r="G39" s="154"/>
      <c r="H39" s="154"/>
      <c r="I39" s="154"/>
      <c r="J39" s="604"/>
      <c r="K39" s="154"/>
      <c r="L39" s="154"/>
      <c r="M39" s="154"/>
      <c r="N39" s="154"/>
      <c r="O39" s="154"/>
      <c r="P39" s="154"/>
      <c r="Q39" s="604"/>
      <c r="R39" s="154"/>
      <c r="S39" s="154"/>
      <c r="T39" s="154"/>
      <c r="U39" s="154"/>
      <c r="V39" s="154"/>
      <c r="W39" s="154"/>
      <c r="X39" s="154"/>
      <c r="Y39" s="154"/>
    </row>
    <row r="40" spans="1:54" ht="13" x14ac:dyDescent="0.3">
      <c r="B40" s="47"/>
      <c r="C40" s="47"/>
    </row>
    <row r="41" spans="1:54" x14ac:dyDescent="0.25">
      <c r="B41" s="44"/>
      <c r="C41" s="44"/>
    </row>
    <row r="42" spans="1:54" x14ac:dyDescent="0.25">
      <c r="B42" s="44"/>
      <c r="C42" s="44"/>
      <c r="E42" s="430"/>
      <c r="F42" s="430"/>
      <c r="H42" s="430"/>
    </row>
    <row r="43" spans="1:54" x14ac:dyDescent="0.25">
      <c r="E43" s="430"/>
      <c r="F43" s="430"/>
      <c r="H43" s="430"/>
    </row>
    <row r="44" spans="1:54" x14ac:dyDescent="0.25">
      <c r="E44" s="430"/>
      <c r="F44" s="430"/>
      <c r="H44" s="430"/>
    </row>
    <row r="45" spans="1:54" x14ac:dyDescent="0.25">
      <c r="E45" s="431"/>
      <c r="F45" s="431"/>
      <c r="H45" s="431"/>
    </row>
  </sheetData>
  <mergeCells count="1">
    <mergeCell ref="D2:H2"/>
  </mergeCells>
  <phoneticPr fontId="6" type="noConversion"/>
  <printOptions horizontalCentered="1" verticalCentered="1"/>
  <pageMargins left="0.39370078740157483" right="0.39370078740157483" top="0.39370078740157483" bottom="0.39370078740157483" header="0.39370078740157483" footer="0"/>
  <pageSetup paperSize="9" scale="47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7">
    <pageSetUpPr fitToPage="1"/>
  </sheetPr>
  <dimension ref="A1:AS73"/>
  <sheetViews>
    <sheetView zoomScaleNormal="100" workbookViewId="0">
      <pane xSplit="10" ySplit="15" topLeftCell="K28" activePane="bottomRight" state="frozen"/>
      <selection pane="topRight" activeCell="K1" sqref="K1"/>
      <selection pane="bottomLeft" activeCell="A16" sqref="A16"/>
      <selection pane="bottomRight" activeCell="C33" sqref="C33"/>
    </sheetView>
  </sheetViews>
  <sheetFormatPr defaultColWidth="9.08984375" defaultRowHeight="12.5" x14ac:dyDescent="0.25"/>
  <cols>
    <col min="1" max="1" width="47" customWidth="1"/>
    <col min="2" max="2" width="9.36328125" style="43" customWidth="1"/>
    <col min="3" max="9" width="8.7265625" style="43" customWidth="1"/>
    <col min="10" max="10" width="12" style="43" customWidth="1"/>
    <col min="11" max="11" width="6.81640625" customWidth="1"/>
    <col min="12" max="12" width="7.08984375" customWidth="1"/>
  </cols>
  <sheetData>
    <row r="1" spans="1:45" ht="14.5" thickBot="1" x14ac:dyDescent="0.35">
      <c r="A1" s="19" t="s">
        <v>322</v>
      </c>
      <c r="B1" s="45"/>
      <c r="C1" s="3"/>
      <c r="D1" s="2"/>
      <c r="E1" s="3"/>
      <c r="F1" s="2"/>
      <c r="G1" s="2"/>
      <c r="H1" s="2"/>
      <c r="J1" s="256"/>
    </row>
    <row r="2" spans="1:45" ht="64.5" customHeight="1" x14ac:dyDescent="0.3">
      <c r="A2" s="25"/>
      <c r="B2" s="27" t="s">
        <v>86</v>
      </c>
      <c r="C2" s="11" t="s">
        <v>35</v>
      </c>
      <c r="D2" s="347" t="s">
        <v>34</v>
      </c>
      <c r="E2" s="317" t="s">
        <v>36</v>
      </c>
      <c r="F2" s="317" t="s">
        <v>38</v>
      </c>
      <c r="G2" s="317" t="s">
        <v>37</v>
      </c>
      <c r="H2" s="318" t="s">
        <v>39</v>
      </c>
      <c r="I2" s="454" t="s">
        <v>138</v>
      </c>
      <c r="J2" s="48"/>
    </row>
    <row r="3" spans="1:45" ht="27" customHeight="1" x14ac:dyDescent="0.3">
      <c r="A3" s="20" t="s">
        <v>269</v>
      </c>
      <c r="B3" s="814"/>
      <c r="C3" s="12" t="s">
        <v>1</v>
      </c>
      <c r="D3" s="348" t="s">
        <v>1</v>
      </c>
      <c r="E3" s="278" t="s">
        <v>1</v>
      </c>
      <c r="F3" s="278" t="s">
        <v>4</v>
      </c>
      <c r="G3" s="278" t="s">
        <v>1</v>
      </c>
      <c r="H3" s="278" t="s">
        <v>1</v>
      </c>
      <c r="I3" s="455" t="s">
        <v>2</v>
      </c>
      <c r="J3" s="48"/>
    </row>
    <row r="4" spans="1:45" ht="14" x14ac:dyDescent="0.3">
      <c r="A4" s="26" t="s">
        <v>7</v>
      </c>
      <c r="B4" s="976"/>
      <c r="C4" s="1184">
        <v>159.13999999999999</v>
      </c>
      <c r="D4" s="1184">
        <v>159.47</v>
      </c>
      <c r="E4" s="1184">
        <v>159.82999999999998</v>
      </c>
      <c r="F4" s="1184">
        <v>160.11000000000001</v>
      </c>
      <c r="G4" s="1184">
        <v>161.20999999999998</v>
      </c>
      <c r="H4" s="1184">
        <v>161.62</v>
      </c>
      <c r="I4" s="1184">
        <v>164</v>
      </c>
      <c r="J4" s="48"/>
      <c r="K4" s="559"/>
      <c r="L4" s="559"/>
      <c r="M4" s="559"/>
      <c r="N4" s="559"/>
      <c r="O4" s="559"/>
      <c r="P4" s="559"/>
      <c r="Q4" s="559"/>
    </row>
    <row r="5" spans="1:45" s="13" customFormat="1" ht="15" customHeight="1" x14ac:dyDescent="0.3">
      <c r="A5" s="108" t="s">
        <v>44</v>
      </c>
      <c r="B5" s="796"/>
      <c r="C5" s="1114"/>
      <c r="D5" s="974"/>
      <c r="E5" s="974"/>
      <c r="F5" s="966"/>
      <c r="G5" s="966"/>
      <c r="H5" s="966"/>
      <c r="I5" s="968"/>
      <c r="J5" s="48"/>
    </row>
    <row r="6" spans="1:45" s="13" customFormat="1" ht="15" customHeight="1" x14ac:dyDescent="0.3">
      <c r="A6" s="284" t="s">
        <v>221</v>
      </c>
      <c r="B6" s="54">
        <v>100</v>
      </c>
      <c r="C6" s="185">
        <v>100</v>
      </c>
      <c r="D6" s="186">
        <v>100</v>
      </c>
      <c r="E6" s="185">
        <v>103</v>
      </c>
      <c r="F6" s="185">
        <v>96</v>
      </c>
      <c r="G6" s="185">
        <v>100</v>
      </c>
      <c r="H6" s="185">
        <v>97</v>
      </c>
      <c r="I6" s="456">
        <v>101</v>
      </c>
      <c r="J6" s="48"/>
    </row>
    <row r="7" spans="1:45" s="13" customFormat="1" ht="15" customHeight="1" x14ac:dyDescent="0.3">
      <c r="A7" s="513" t="s">
        <v>265</v>
      </c>
      <c r="B7" s="61">
        <f>65+7</f>
        <v>72</v>
      </c>
      <c r="C7" s="188">
        <f>65+7.2</f>
        <v>72.2</v>
      </c>
      <c r="D7" s="190">
        <f>65+6.40000000000001</f>
        <v>71.400000000000006</v>
      </c>
      <c r="E7" s="188">
        <f>65+6.2</f>
        <v>71.2</v>
      </c>
      <c r="F7" s="188">
        <f>65+7.5</f>
        <v>72.5</v>
      </c>
      <c r="G7" s="188">
        <f>65+6.7</f>
        <v>71.7</v>
      </c>
      <c r="H7" s="188">
        <f>65+8.7</f>
        <v>73.7</v>
      </c>
      <c r="I7" s="457">
        <f>65+8.7</f>
        <v>73.7</v>
      </c>
      <c r="J7" s="48"/>
    </row>
    <row r="8" spans="1:45" s="13" customFormat="1" ht="15" customHeight="1" x14ac:dyDescent="0.3">
      <c r="A8" s="306" t="s">
        <v>321</v>
      </c>
      <c r="B8" s="104">
        <v>100</v>
      </c>
      <c r="C8" s="245">
        <v>101</v>
      </c>
      <c r="D8" s="196">
        <v>99</v>
      </c>
      <c r="E8" s="245">
        <v>102</v>
      </c>
      <c r="F8" s="245">
        <v>97</v>
      </c>
      <c r="G8" s="245">
        <v>100</v>
      </c>
      <c r="H8" s="245">
        <v>99</v>
      </c>
      <c r="I8" s="444">
        <v>104</v>
      </c>
      <c r="J8" s="48"/>
    </row>
    <row r="9" spans="1:45" s="13" customFormat="1" ht="15" customHeight="1" x14ac:dyDescent="0.3">
      <c r="A9" s="287" t="s">
        <v>323</v>
      </c>
      <c r="B9" s="133">
        <v>74.2</v>
      </c>
      <c r="C9" s="102">
        <v>73.5</v>
      </c>
      <c r="D9" s="103">
        <v>73.2</v>
      </c>
      <c r="E9" s="102">
        <v>72.099999999999994</v>
      </c>
      <c r="F9" s="102">
        <v>76.400000000000006</v>
      </c>
      <c r="G9" s="102">
        <v>74.7</v>
      </c>
      <c r="H9" s="102">
        <v>77.2</v>
      </c>
      <c r="I9" s="405">
        <v>73.099999999999994</v>
      </c>
      <c r="J9" s="48"/>
    </row>
    <row r="10" spans="1:45" s="13" customFormat="1" ht="15" customHeight="1" x14ac:dyDescent="0.3">
      <c r="A10" s="108" t="s">
        <v>10</v>
      </c>
      <c r="B10" s="796"/>
      <c r="C10" s="1114"/>
      <c r="D10" s="974"/>
      <c r="E10" s="974"/>
      <c r="F10" s="974"/>
      <c r="G10" s="974"/>
      <c r="H10" s="974"/>
      <c r="I10" s="975"/>
      <c r="J10" s="48"/>
      <c r="L10" s="84"/>
    </row>
    <row r="11" spans="1:45" s="13" customFormat="1" ht="15" customHeight="1" x14ac:dyDescent="0.3">
      <c r="A11" s="285" t="s">
        <v>222</v>
      </c>
      <c r="B11" s="57">
        <v>100</v>
      </c>
      <c r="C11" s="242">
        <v>101</v>
      </c>
      <c r="D11" s="194">
        <v>99</v>
      </c>
      <c r="E11" s="242">
        <v>101</v>
      </c>
      <c r="F11" s="242">
        <v>96</v>
      </c>
      <c r="G11" s="242">
        <v>98</v>
      </c>
      <c r="H11" s="242">
        <v>101</v>
      </c>
      <c r="I11" s="458">
        <v>96</v>
      </c>
      <c r="J11" s="48"/>
      <c r="L11" s="84"/>
    </row>
    <row r="12" spans="1:45" s="13" customFormat="1" ht="15" customHeight="1" x14ac:dyDescent="0.3">
      <c r="A12" s="287" t="s">
        <v>334</v>
      </c>
      <c r="B12" s="133">
        <v>100</v>
      </c>
      <c r="C12" s="102">
        <v>101</v>
      </c>
      <c r="D12" s="103">
        <v>99</v>
      </c>
      <c r="E12" s="102">
        <v>101</v>
      </c>
      <c r="F12" s="102">
        <v>97</v>
      </c>
      <c r="G12" s="102">
        <v>97</v>
      </c>
      <c r="H12" s="102">
        <v>103</v>
      </c>
      <c r="I12" s="405">
        <v>99</v>
      </c>
      <c r="J12" s="48"/>
      <c r="L12" s="84"/>
    </row>
    <row r="13" spans="1:45" s="13" customFormat="1" ht="15" customHeight="1" x14ac:dyDescent="0.3">
      <c r="A13" s="285" t="s">
        <v>218</v>
      </c>
      <c r="B13" s="57">
        <v>100</v>
      </c>
      <c r="C13" s="242">
        <v>100</v>
      </c>
      <c r="D13" s="194">
        <v>100</v>
      </c>
      <c r="E13" s="242">
        <v>102</v>
      </c>
      <c r="F13" s="242">
        <v>97</v>
      </c>
      <c r="G13" s="242">
        <v>100</v>
      </c>
      <c r="H13" s="242">
        <v>98</v>
      </c>
      <c r="I13" s="458">
        <v>101</v>
      </c>
      <c r="J13" s="48"/>
      <c r="L13" s="84"/>
    </row>
    <row r="14" spans="1:45" s="13" customFormat="1" ht="15" customHeight="1" x14ac:dyDescent="0.3">
      <c r="A14" s="306" t="s">
        <v>223</v>
      </c>
      <c r="B14" s="104">
        <v>100</v>
      </c>
      <c r="C14" s="102">
        <v>100.54545454545455</v>
      </c>
      <c r="D14" s="103">
        <v>99.5</v>
      </c>
      <c r="E14" s="103">
        <v>101.45454545454545</v>
      </c>
      <c r="F14" s="103">
        <v>96.454545454545453</v>
      </c>
      <c r="G14" s="103">
        <v>98.909090909090907</v>
      </c>
      <c r="H14" s="103">
        <v>99.63636363636364</v>
      </c>
      <c r="I14" s="443">
        <v>98.058823529411768</v>
      </c>
      <c r="J14" s="48"/>
      <c r="L14" s="84"/>
    </row>
    <row r="15" spans="1:45" s="13" customFormat="1" ht="15" customHeight="1" thickBot="1" x14ac:dyDescent="0.35">
      <c r="A15" s="575" t="s">
        <v>324</v>
      </c>
      <c r="B15" s="576">
        <v>71.099999999999994</v>
      </c>
      <c r="C15" s="102">
        <v>72.3</v>
      </c>
      <c r="D15" s="103">
        <v>70.7</v>
      </c>
      <c r="E15" s="102">
        <v>69.7</v>
      </c>
      <c r="F15" s="102">
        <v>72.2</v>
      </c>
      <c r="G15" s="102">
        <v>70.400000000000006</v>
      </c>
      <c r="H15" s="102">
        <v>72.5</v>
      </c>
      <c r="I15" s="405">
        <v>67.3</v>
      </c>
      <c r="J15" s="48"/>
      <c r="L15" s="84"/>
    </row>
    <row r="16" spans="1:45" s="236" customFormat="1" ht="15" customHeight="1" x14ac:dyDescent="0.3">
      <c r="A16" s="108" t="s">
        <v>8</v>
      </c>
      <c r="B16" s="796"/>
      <c r="C16" s="1114"/>
      <c r="D16" s="974"/>
      <c r="E16" s="974"/>
      <c r="F16" s="974"/>
      <c r="G16" s="974"/>
      <c r="H16" s="974"/>
      <c r="I16" s="975"/>
      <c r="J16" s="48"/>
      <c r="K16" s="13"/>
      <c r="L16" s="84"/>
      <c r="M16" s="13"/>
      <c r="N16" s="13"/>
      <c r="O16" s="84"/>
      <c r="P16" s="84"/>
      <c r="Q16" s="84"/>
      <c r="R16" s="84"/>
      <c r="S16" s="84"/>
      <c r="T16" s="84"/>
      <c r="U16" s="84"/>
      <c r="V16" s="84"/>
      <c r="W16" s="84"/>
      <c r="X16" s="84"/>
      <c r="Y16" s="84"/>
      <c r="Z16" s="84"/>
      <c r="AA16" s="84"/>
      <c r="AB16" s="84"/>
      <c r="AC16" s="84"/>
      <c r="AD16" s="84"/>
      <c r="AE16" s="84"/>
      <c r="AF16" s="84"/>
      <c r="AG16" s="84"/>
      <c r="AH16" s="84"/>
      <c r="AI16" s="84"/>
      <c r="AJ16" s="84"/>
      <c r="AK16" s="84"/>
      <c r="AL16" s="84"/>
      <c r="AM16" s="84"/>
      <c r="AN16" s="84"/>
      <c r="AO16" s="84"/>
      <c r="AP16" s="84"/>
      <c r="AQ16" s="84"/>
      <c r="AR16" s="84"/>
      <c r="AS16" s="358"/>
    </row>
    <row r="17" spans="1:45" s="13" customFormat="1" ht="15" customHeight="1" x14ac:dyDescent="0.3">
      <c r="A17" s="284" t="s">
        <v>217</v>
      </c>
      <c r="B17" s="54">
        <v>100</v>
      </c>
      <c r="C17" s="185">
        <v>107</v>
      </c>
      <c r="D17" s="186">
        <v>100</v>
      </c>
      <c r="E17" s="185">
        <v>106</v>
      </c>
      <c r="F17" s="185">
        <v>80</v>
      </c>
      <c r="G17" s="185">
        <v>96</v>
      </c>
      <c r="H17" s="185">
        <v>91</v>
      </c>
      <c r="I17" s="459">
        <v>114</v>
      </c>
      <c r="J17" s="48"/>
      <c r="L17" s="84"/>
    </row>
    <row r="18" spans="1:45" s="13" customFormat="1" ht="15" customHeight="1" x14ac:dyDescent="0.3">
      <c r="A18" s="285" t="s">
        <v>219</v>
      </c>
      <c r="B18" s="57">
        <v>100</v>
      </c>
      <c r="C18" s="242">
        <v>102</v>
      </c>
      <c r="D18" s="194">
        <v>94</v>
      </c>
      <c r="E18" s="242">
        <v>106</v>
      </c>
      <c r="F18" s="242">
        <v>94</v>
      </c>
      <c r="G18" s="242">
        <v>98</v>
      </c>
      <c r="H18" s="242">
        <v>99</v>
      </c>
      <c r="I18" s="458">
        <v>108</v>
      </c>
      <c r="J18" s="48"/>
      <c r="L18" s="84"/>
    </row>
    <row r="19" spans="1:45" s="13" customFormat="1" ht="15" customHeight="1" x14ac:dyDescent="0.3">
      <c r="A19" s="285" t="s">
        <v>325</v>
      </c>
      <c r="B19" s="57">
        <v>100</v>
      </c>
      <c r="C19" s="242">
        <v>99</v>
      </c>
      <c r="D19" s="194">
        <v>103</v>
      </c>
      <c r="E19" s="242">
        <v>100</v>
      </c>
      <c r="F19" s="242">
        <v>99</v>
      </c>
      <c r="G19" s="242">
        <v>102</v>
      </c>
      <c r="H19" s="242">
        <v>97</v>
      </c>
      <c r="I19" s="458">
        <v>97</v>
      </c>
      <c r="J19" s="48"/>
      <c r="L19" s="84"/>
    </row>
    <row r="20" spans="1:45" s="13" customFormat="1" ht="15" customHeight="1" x14ac:dyDescent="0.3">
      <c r="A20" s="285" t="s">
        <v>326</v>
      </c>
      <c r="B20" s="57">
        <v>100</v>
      </c>
      <c r="C20" s="242">
        <v>100</v>
      </c>
      <c r="D20" s="194">
        <v>101</v>
      </c>
      <c r="E20" s="283">
        <v>103</v>
      </c>
      <c r="F20" s="242">
        <v>95</v>
      </c>
      <c r="G20" s="242">
        <v>100</v>
      </c>
      <c r="H20" s="242">
        <v>96</v>
      </c>
      <c r="I20" s="458">
        <v>99</v>
      </c>
      <c r="J20" s="48"/>
      <c r="L20" s="84"/>
    </row>
    <row r="21" spans="1:45" s="13" customFormat="1" ht="15" customHeight="1" x14ac:dyDescent="0.3">
      <c r="A21" s="286" t="s">
        <v>220</v>
      </c>
      <c r="B21" s="104">
        <v>100</v>
      </c>
      <c r="C21" s="245">
        <v>100</v>
      </c>
      <c r="D21" s="196">
        <v>100</v>
      </c>
      <c r="E21" s="245">
        <v>106</v>
      </c>
      <c r="F21" s="245">
        <v>92</v>
      </c>
      <c r="G21" s="245">
        <v>99</v>
      </c>
      <c r="H21" s="245">
        <v>95</v>
      </c>
      <c r="I21" s="444">
        <v>104</v>
      </c>
      <c r="J21" s="48"/>
      <c r="L21" s="84"/>
    </row>
    <row r="22" spans="1:45" s="238" customFormat="1" ht="15" customHeight="1" x14ac:dyDescent="0.3">
      <c r="A22" s="199" t="s">
        <v>327</v>
      </c>
      <c r="B22" s="1120"/>
      <c r="C22" s="1121"/>
      <c r="D22" s="1122"/>
      <c r="E22" s="1122"/>
      <c r="F22" s="1122"/>
      <c r="G22" s="1122"/>
      <c r="H22" s="1122"/>
      <c r="I22" s="1123"/>
      <c r="J22" s="48"/>
      <c r="K22" s="237"/>
      <c r="L22" s="84"/>
      <c r="M22" s="237"/>
      <c r="N22" s="237"/>
      <c r="O22" s="237"/>
      <c r="P22" s="237"/>
      <c r="Q22" s="237"/>
      <c r="R22" s="237"/>
      <c r="S22" s="237"/>
      <c r="T22" s="237"/>
      <c r="U22" s="237"/>
      <c r="V22" s="237"/>
      <c r="W22" s="237"/>
      <c r="X22" s="237"/>
      <c r="Y22" s="237"/>
      <c r="Z22" s="237"/>
      <c r="AA22" s="237"/>
      <c r="AB22" s="237"/>
      <c r="AC22" s="237"/>
      <c r="AD22" s="237"/>
      <c r="AE22" s="237"/>
      <c r="AF22" s="237"/>
      <c r="AG22" s="237"/>
      <c r="AH22" s="237"/>
      <c r="AI22" s="237"/>
      <c r="AJ22" s="237"/>
      <c r="AK22" s="237"/>
      <c r="AL22" s="237"/>
      <c r="AM22" s="237"/>
      <c r="AN22" s="237"/>
      <c r="AO22" s="237"/>
      <c r="AP22" s="237"/>
      <c r="AQ22" s="237"/>
      <c r="AR22" s="237"/>
      <c r="AS22" s="359"/>
    </row>
    <row r="23" spans="1:45" s="13" customFormat="1" ht="15" customHeight="1" x14ac:dyDescent="0.3">
      <c r="A23" s="284" t="s">
        <v>224</v>
      </c>
      <c r="B23" s="54">
        <v>100</v>
      </c>
      <c r="C23" s="185">
        <v>104</v>
      </c>
      <c r="D23" s="186">
        <v>99</v>
      </c>
      <c r="E23" s="185">
        <v>99</v>
      </c>
      <c r="F23" s="185">
        <v>96</v>
      </c>
      <c r="G23" s="185">
        <v>96</v>
      </c>
      <c r="H23" s="185">
        <v>102</v>
      </c>
      <c r="I23" s="456">
        <v>98</v>
      </c>
      <c r="J23" s="48"/>
    </row>
    <row r="24" spans="1:45" s="13" customFormat="1" ht="15" customHeight="1" x14ac:dyDescent="0.3">
      <c r="A24" s="513" t="s">
        <v>328</v>
      </c>
      <c r="B24" s="61">
        <f>65+0.8</f>
        <v>65.8</v>
      </c>
      <c r="C24" s="188">
        <f>65+0.5</f>
        <v>65.5</v>
      </c>
      <c r="D24" s="190">
        <f>65+1</f>
        <v>66</v>
      </c>
      <c r="E24" s="188">
        <f>65+0.400000000000006</f>
        <v>65.400000000000006</v>
      </c>
      <c r="F24" s="188">
        <f>65+1.90000000000001</f>
        <v>66.900000000000006</v>
      </c>
      <c r="G24" s="188">
        <f>65+0.299999999999997</f>
        <v>65.3</v>
      </c>
      <c r="H24" s="188">
        <f>65+1.8</f>
        <v>66.8</v>
      </c>
      <c r="I24" s="457">
        <f>65+3.2</f>
        <v>68.2</v>
      </c>
      <c r="J24" s="48"/>
    </row>
    <row r="25" spans="1:45" s="13" customFormat="1" ht="15" customHeight="1" x14ac:dyDescent="0.3">
      <c r="A25" s="285" t="s">
        <v>225</v>
      </c>
      <c r="B25" s="57">
        <v>100</v>
      </c>
      <c r="C25" s="242">
        <v>99</v>
      </c>
      <c r="D25" s="194">
        <v>100</v>
      </c>
      <c r="E25" s="242">
        <v>104</v>
      </c>
      <c r="F25" s="242">
        <v>96</v>
      </c>
      <c r="G25" s="242">
        <v>100</v>
      </c>
      <c r="H25" s="242">
        <v>97</v>
      </c>
      <c r="I25" s="458">
        <v>93</v>
      </c>
      <c r="J25" s="48"/>
    </row>
    <row r="26" spans="1:45" s="13" customFormat="1" ht="15" customHeight="1" x14ac:dyDescent="0.3">
      <c r="A26" s="529" t="s">
        <v>266</v>
      </c>
      <c r="B26" s="61">
        <f>65+0.1</f>
        <v>65.099999999999994</v>
      </c>
      <c r="C26" s="188">
        <f>65+-0.200000000000003</f>
        <v>64.8</v>
      </c>
      <c r="D26" s="190">
        <f>65+-0.200000000000003</f>
        <v>64.8</v>
      </c>
      <c r="E26" s="188">
        <f>65+-0.5</f>
        <v>64.5</v>
      </c>
      <c r="F26" s="188">
        <f>65+1</f>
        <v>66</v>
      </c>
      <c r="G26" s="188">
        <f>65+-0.900000000000006</f>
        <v>64.099999999999994</v>
      </c>
      <c r="H26" s="188">
        <f>65+2</f>
        <v>67</v>
      </c>
      <c r="I26" s="457">
        <f>65+3.3</f>
        <v>68.3</v>
      </c>
      <c r="J26" s="48"/>
      <c r="K26" s="181"/>
      <c r="L26" s="181"/>
    </row>
    <row r="27" spans="1:45" s="13" customFormat="1" ht="15" customHeight="1" x14ac:dyDescent="0.3">
      <c r="A27" s="285" t="s">
        <v>226</v>
      </c>
      <c r="B27" s="57">
        <v>100</v>
      </c>
      <c r="C27" s="242">
        <v>97</v>
      </c>
      <c r="D27" s="194">
        <v>102</v>
      </c>
      <c r="E27" s="242">
        <v>103</v>
      </c>
      <c r="F27" s="242">
        <v>97</v>
      </c>
      <c r="G27" s="242">
        <v>99</v>
      </c>
      <c r="H27" s="242">
        <v>100</v>
      </c>
      <c r="I27" s="458">
        <v>95</v>
      </c>
      <c r="J27" s="48"/>
    </row>
    <row r="28" spans="1:45" s="13" customFormat="1" ht="15" customHeight="1" x14ac:dyDescent="0.3">
      <c r="A28" s="288" t="s">
        <v>329</v>
      </c>
      <c r="B28" s="231">
        <v>100</v>
      </c>
      <c r="C28" s="242">
        <v>98</v>
      </c>
      <c r="D28" s="194">
        <v>96</v>
      </c>
      <c r="E28" s="242">
        <v>103</v>
      </c>
      <c r="F28" s="242">
        <v>95</v>
      </c>
      <c r="G28" s="242">
        <v>101</v>
      </c>
      <c r="H28" s="242">
        <v>102</v>
      </c>
      <c r="I28" s="458">
        <v>100</v>
      </c>
      <c r="J28" s="48"/>
    </row>
    <row r="29" spans="1:45" s="13" customFormat="1" ht="15" customHeight="1" x14ac:dyDescent="0.3">
      <c r="A29" s="207" t="s">
        <v>11</v>
      </c>
      <c r="B29" s="958"/>
      <c r="C29" s="1124"/>
      <c r="D29" s="959"/>
      <c r="E29" s="959"/>
      <c r="F29" s="959"/>
      <c r="G29" s="959"/>
      <c r="H29" s="959"/>
      <c r="I29" s="962"/>
      <c r="J29" s="48"/>
    </row>
    <row r="30" spans="1:45" s="13" customFormat="1" ht="15" customHeight="1" x14ac:dyDescent="0.3">
      <c r="A30" s="375" t="s">
        <v>310</v>
      </c>
      <c r="B30" s="197">
        <v>6.8</v>
      </c>
      <c r="C30" s="254">
        <v>7</v>
      </c>
      <c r="D30" s="255">
        <v>6.9</v>
      </c>
      <c r="E30" s="254">
        <v>7</v>
      </c>
      <c r="F30" s="254">
        <v>6.8</v>
      </c>
      <c r="G30" s="254">
        <v>6.7</v>
      </c>
      <c r="H30" s="254">
        <v>6.6</v>
      </c>
      <c r="I30" s="460" t="s">
        <v>5</v>
      </c>
      <c r="J30" s="48"/>
    </row>
    <row r="31" spans="1:45" s="13" customFormat="1" ht="8.25" customHeight="1" x14ac:dyDescent="0.3">
      <c r="A31" s="1132"/>
      <c r="B31" s="1030"/>
      <c r="C31" s="1125"/>
      <c r="D31" s="1126"/>
      <c r="E31" s="1126"/>
      <c r="F31" s="1126"/>
      <c r="G31" s="1126"/>
      <c r="H31" s="1126"/>
      <c r="I31" s="1127"/>
      <c r="J31" s="48"/>
    </row>
    <row r="32" spans="1:45" s="13" customFormat="1" ht="15" customHeight="1" x14ac:dyDescent="0.3">
      <c r="A32" s="118" t="s">
        <v>285</v>
      </c>
      <c r="B32" s="793"/>
      <c r="C32" s="33">
        <v>2005</v>
      </c>
      <c r="D32" s="34">
        <v>2001</v>
      </c>
      <c r="E32" s="33">
        <v>2003</v>
      </c>
      <c r="F32" s="33">
        <v>1990</v>
      </c>
      <c r="G32" s="33">
        <v>1989</v>
      </c>
      <c r="H32" s="33">
        <v>2003</v>
      </c>
      <c r="I32" s="461">
        <v>2020</v>
      </c>
      <c r="J32" s="48"/>
    </row>
    <row r="33" spans="1:45" s="13" customFormat="1" ht="41.5" customHeight="1" x14ac:dyDescent="0.3">
      <c r="A33" s="1191" t="s">
        <v>367</v>
      </c>
      <c r="B33" s="1193"/>
      <c r="C33" s="1209" t="s">
        <v>399</v>
      </c>
      <c r="D33" s="1210" t="s">
        <v>392</v>
      </c>
      <c r="E33" s="1210" t="s">
        <v>392</v>
      </c>
      <c r="F33" s="1211" t="s">
        <v>390</v>
      </c>
      <c r="G33" s="1211" t="s">
        <v>379</v>
      </c>
      <c r="H33" s="1211" t="s">
        <v>379</v>
      </c>
      <c r="I33" s="1212" t="s">
        <v>395</v>
      </c>
      <c r="J33" s="48"/>
    </row>
    <row r="34" spans="1:45" s="13" customFormat="1" ht="32.5" customHeight="1" x14ac:dyDescent="0.3">
      <c r="A34" s="1191" t="s">
        <v>384</v>
      </c>
      <c r="B34" s="1193"/>
      <c r="C34" s="1209" t="s">
        <v>376</v>
      </c>
      <c r="D34" s="1210" t="s">
        <v>386</v>
      </c>
      <c r="E34" s="1211" t="s">
        <v>374</v>
      </c>
      <c r="F34" s="1211" t="s">
        <v>374</v>
      </c>
      <c r="G34" s="1210" t="s">
        <v>386</v>
      </c>
      <c r="H34" s="1211" t="s">
        <v>374</v>
      </c>
      <c r="I34" s="1212" t="s">
        <v>396</v>
      </c>
      <c r="J34" s="48"/>
    </row>
    <row r="35" spans="1:45" s="239" customFormat="1" ht="15" customHeight="1" x14ac:dyDescent="0.3">
      <c r="A35" s="114" t="s">
        <v>6</v>
      </c>
      <c r="B35" s="1128"/>
      <c r="C35" s="1129"/>
      <c r="D35" s="1130"/>
      <c r="E35" s="1130"/>
      <c r="F35" s="1130"/>
      <c r="G35" s="1130"/>
      <c r="H35" s="1130"/>
      <c r="I35" s="1131"/>
      <c r="J35" s="48"/>
      <c r="K35" s="84"/>
      <c r="L35" s="84"/>
      <c r="M35" s="84"/>
      <c r="N35" s="84"/>
      <c r="O35" s="84"/>
      <c r="P35" s="84"/>
      <c r="Q35" s="84"/>
      <c r="R35" s="84"/>
      <c r="S35" s="84"/>
      <c r="T35" s="84"/>
      <c r="U35" s="84"/>
      <c r="V35" s="84"/>
      <c r="W35" s="84"/>
      <c r="X35" s="84"/>
      <c r="Y35" s="84"/>
      <c r="Z35" s="84"/>
      <c r="AA35" s="84"/>
      <c r="AB35" s="84"/>
      <c r="AC35" s="84"/>
      <c r="AD35" s="84"/>
      <c r="AE35" s="84"/>
      <c r="AF35" s="84"/>
      <c r="AG35" s="84"/>
      <c r="AH35" s="84"/>
      <c r="AI35" s="84"/>
      <c r="AJ35" s="84"/>
      <c r="AK35" s="84"/>
      <c r="AL35" s="84"/>
      <c r="AM35" s="84"/>
      <c r="AN35" s="84"/>
      <c r="AO35" s="84"/>
      <c r="AP35" s="84"/>
      <c r="AQ35" s="84"/>
      <c r="AR35" s="84"/>
      <c r="AS35" s="360"/>
    </row>
    <row r="36" spans="1:45" s="13" customFormat="1" ht="15" customHeight="1" x14ac:dyDescent="0.3">
      <c r="A36" s="211" t="s">
        <v>19</v>
      </c>
      <c r="B36" s="948"/>
      <c r="C36" s="222">
        <v>12</v>
      </c>
      <c r="D36" s="346">
        <v>12</v>
      </c>
      <c r="E36" s="221">
        <v>12</v>
      </c>
      <c r="F36" s="221">
        <v>12</v>
      </c>
      <c r="G36" s="221">
        <v>12</v>
      </c>
      <c r="H36" s="221">
        <v>12</v>
      </c>
      <c r="I36" s="462">
        <v>10</v>
      </c>
      <c r="J36" s="48"/>
    </row>
    <row r="37" spans="1:45" s="13" customFormat="1" ht="15" customHeight="1" x14ac:dyDescent="0.3">
      <c r="A37" s="214" t="s">
        <v>20</v>
      </c>
      <c r="B37" s="950"/>
      <c r="C37" s="224">
        <v>11</v>
      </c>
      <c r="D37" s="223">
        <v>11</v>
      </c>
      <c r="E37" s="224">
        <v>11</v>
      </c>
      <c r="F37" s="224">
        <v>11</v>
      </c>
      <c r="G37" s="224">
        <v>11</v>
      </c>
      <c r="H37" s="224">
        <v>11</v>
      </c>
      <c r="I37" s="463">
        <v>7</v>
      </c>
      <c r="J37" s="48"/>
    </row>
    <row r="38" spans="1:45" s="13" customFormat="1" ht="15" customHeight="1" thickBot="1" x14ac:dyDescent="0.35">
      <c r="A38" s="227" t="s">
        <v>21</v>
      </c>
      <c r="B38" s="952"/>
      <c r="C38" s="228">
        <v>10</v>
      </c>
      <c r="D38" s="229">
        <v>12</v>
      </c>
      <c r="E38" s="228">
        <v>10</v>
      </c>
      <c r="F38" s="228">
        <v>10</v>
      </c>
      <c r="G38" s="228">
        <v>10</v>
      </c>
      <c r="H38" s="228">
        <v>10</v>
      </c>
      <c r="I38" s="464">
        <v>7</v>
      </c>
      <c r="J38" s="48"/>
    </row>
    <row r="39" spans="1:45" ht="14" x14ac:dyDescent="0.3">
      <c r="J39" s="48"/>
    </row>
    <row r="40" spans="1:45" ht="14" x14ac:dyDescent="0.3">
      <c r="C40" s="372"/>
      <c r="J40" s="48"/>
    </row>
    <row r="41" spans="1:45" ht="14" x14ac:dyDescent="0.3">
      <c r="C41" s="234"/>
      <c r="J41" s="48"/>
    </row>
    <row r="42" spans="1:45" ht="14" x14ac:dyDescent="0.3">
      <c r="J42" s="48"/>
    </row>
    <row r="43" spans="1:45" ht="14" x14ac:dyDescent="0.3">
      <c r="J43" s="48"/>
    </row>
    <row r="44" spans="1:45" ht="14" x14ac:dyDescent="0.3">
      <c r="J44" s="48"/>
    </row>
    <row r="45" spans="1:45" ht="14" x14ac:dyDescent="0.3">
      <c r="J45" s="48"/>
    </row>
    <row r="46" spans="1:45" ht="14" x14ac:dyDescent="0.3">
      <c r="J46" s="48"/>
    </row>
    <row r="47" spans="1:45" ht="14" x14ac:dyDescent="0.3">
      <c r="J47" s="48"/>
    </row>
    <row r="48" spans="1:45" ht="14" x14ac:dyDescent="0.3">
      <c r="J48" s="48"/>
    </row>
    <row r="49" spans="10:10" ht="14" x14ac:dyDescent="0.3">
      <c r="J49" s="48"/>
    </row>
    <row r="50" spans="10:10" ht="14" x14ac:dyDescent="0.3">
      <c r="J50" s="48"/>
    </row>
    <row r="51" spans="10:10" ht="14" x14ac:dyDescent="0.3">
      <c r="J51" s="48"/>
    </row>
    <row r="52" spans="10:10" ht="14" x14ac:dyDescent="0.3">
      <c r="J52" s="48"/>
    </row>
    <row r="53" spans="10:10" ht="14" x14ac:dyDescent="0.3">
      <c r="J53" s="48"/>
    </row>
    <row r="54" spans="10:10" ht="14" x14ac:dyDescent="0.3">
      <c r="J54" s="48"/>
    </row>
    <row r="55" spans="10:10" ht="14" x14ac:dyDescent="0.3">
      <c r="J55" s="48"/>
    </row>
    <row r="56" spans="10:10" ht="14" x14ac:dyDescent="0.3">
      <c r="J56" s="48"/>
    </row>
    <row r="57" spans="10:10" ht="14" x14ac:dyDescent="0.3">
      <c r="J57" s="48"/>
    </row>
    <row r="58" spans="10:10" ht="14" x14ac:dyDescent="0.3">
      <c r="J58" s="48"/>
    </row>
    <row r="59" spans="10:10" ht="14" x14ac:dyDescent="0.3">
      <c r="J59" s="48"/>
    </row>
    <row r="60" spans="10:10" ht="14" x14ac:dyDescent="0.3">
      <c r="J60" s="48"/>
    </row>
    <row r="61" spans="10:10" ht="14" x14ac:dyDescent="0.3">
      <c r="J61" s="48"/>
    </row>
    <row r="62" spans="10:10" ht="14" x14ac:dyDescent="0.3">
      <c r="J62" s="48"/>
    </row>
    <row r="63" spans="10:10" ht="14" x14ac:dyDescent="0.3">
      <c r="J63" s="48"/>
    </row>
    <row r="64" spans="10:10" ht="14" x14ac:dyDescent="0.3">
      <c r="J64" s="48"/>
    </row>
    <row r="65" spans="10:10" ht="14" x14ac:dyDescent="0.3">
      <c r="J65" s="48"/>
    </row>
    <row r="66" spans="10:10" ht="14" x14ac:dyDescent="0.3">
      <c r="J66" s="48"/>
    </row>
    <row r="67" spans="10:10" ht="14" x14ac:dyDescent="0.3">
      <c r="J67" s="48"/>
    </row>
    <row r="68" spans="10:10" ht="14" x14ac:dyDescent="0.3">
      <c r="J68" s="48"/>
    </row>
    <row r="69" spans="10:10" ht="14" x14ac:dyDescent="0.3">
      <c r="J69" s="48"/>
    </row>
    <row r="70" spans="10:10" ht="14" x14ac:dyDescent="0.3">
      <c r="J70" s="48"/>
    </row>
    <row r="71" spans="10:10" ht="14" x14ac:dyDescent="0.3">
      <c r="J71" s="48"/>
    </row>
    <row r="72" spans="10:10" ht="14" x14ac:dyDescent="0.3">
      <c r="J72" s="48"/>
    </row>
    <row r="73" spans="10:10" ht="14" x14ac:dyDescent="0.3">
      <c r="J73" s="48"/>
    </row>
  </sheetData>
  <phoneticPr fontId="6" type="noConversion"/>
  <printOptions horizontalCentered="1" verticalCentered="1"/>
  <pageMargins left="0.39370078740157483" right="0.39370078740157483" top="0.39370078740157483" bottom="0.39370078740157483" header="0.31496062992125984" footer="0.11811023622047245"/>
  <pageSetup paperSize="8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AO1137"/>
  <sheetViews>
    <sheetView zoomScaleNormal="100" workbookViewId="0">
      <pane xSplit="9" ySplit="9" topLeftCell="J31" activePane="bottomRight" state="frozen"/>
      <selection pane="topRight" activeCell="J1" sqref="J1"/>
      <selection pane="bottomLeft" activeCell="A10" sqref="A10"/>
      <selection pane="bottomRight" activeCell="R36" sqref="R36"/>
    </sheetView>
  </sheetViews>
  <sheetFormatPr defaultColWidth="9.08984375" defaultRowHeight="13" x14ac:dyDescent="0.3"/>
  <cols>
    <col min="1" max="1" width="21" style="7" customWidth="1"/>
    <col min="2" max="2" width="43.26953125" style="7" customWidth="1"/>
    <col min="3" max="3" width="9.08984375" style="7" customWidth="1"/>
    <col min="4" max="4" width="9.08984375" style="6" customWidth="1"/>
    <col min="5" max="5" width="9.08984375" style="598" customWidth="1"/>
    <col min="6" max="9" width="9.08984375" style="7" customWidth="1"/>
    <col min="10" max="10" width="9.08984375" style="598" customWidth="1"/>
    <col min="11" max="11" width="9.08984375" style="7" customWidth="1"/>
    <col min="12" max="12" width="9.08984375" style="6" customWidth="1"/>
    <col min="13" max="13" width="9.08984375" style="1" customWidth="1"/>
    <col min="14" max="15" width="9.08984375" style="369" customWidth="1"/>
    <col min="16" max="17" width="9.08984375" style="7" customWidth="1"/>
    <col min="18" max="18" width="9.08984375" style="598" customWidth="1"/>
    <col min="19" max="19" width="3.6328125" style="14" customWidth="1"/>
    <col min="20" max="16384" width="9.08984375" style="7"/>
  </cols>
  <sheetData>
    <row r="1" spans="1:41" ht="14.5" thickBot="1" x14ac:dyDescent="0.35">
      <c r="A1" s="19" t="s">
        <v>286</v>
      </c>
      <c r="B1" s="19"/>
      <c r="S1" s="6"/>
    </row>
    <row r="2" spans="1:41" ht="111" customHeight="1" thickTop="1" x14ac:dyDescent="0.25">
      <c r="A2" s="76"/>
      <c r="B2" s="77"/>
      <c r="C2" s="613" t="s">
        <v>49</v>
      </c>
      <c r="D2" s="339" t="s">
        <v>175</v>
      </c>
      <c r="E2" s="339" t="s">
        <v>81</v>
      </c>
      <c r="F2" s="339" t="s">
        <v>50</v>
      </c>
      <c r="G2" s="339" t="s">
        <v>139</v>
      </c>
      <c r="H2" s="339" t="s">
        <v>55</v>
      </c>
      <c r="I2" s="339" t="s">
        <v>71</v>
      </c>
      <c r="J2" s="339" t="s">
        <v>64</v>
      </c>
      <c r="K2" s="339" t="s">
        <v>164</v>
      </c>
      <c r="L2" s="339" t="s">
        <v>13</v>
      </c>
      <c r="M2" s="339" t="s">
        <v>14</v>
      </c>
      <c r="N2" s="340" t="s">
        <v>162</v>
      </c>
      <c r="O2" s="340" t="s">
        <v>157</v>
      </c>
      <c r="P2" s="339" t="s">
        <v>140</v>
      </c>
      <c r="Q2" s="340" t="s">
        <v>15</v>
      </c>
      <c r="R2" s="620" t="s">
        <v>65</v>
      </c>
      <c r="S2" s="7"/>
    </row>
    <row r="3" spans="1:41" ht="33" customHeight="1" x14ac:dyDescent="0.25">
      <c r="A3" s="15"/>
      <c r="B3" s="40" t="s">
        <v>269</v>
      </c>
      <c r="C3" s="633" t="s">
        <v>1</v>
      </c>
      <c r="D3" s="634" t="s">
        <v>1</v>
      </c>
      <c r="E3" s="634" t="s">
        <v>1</v>
      </c>
      <c r="F3" s="634" t="s">
        <v>1</v>
      </c>
      <c r="G3" s="634" t="s">
        <v>2</v>
      </c>
      <c r="H3" s="634" t="s">
        <v>1</v>
      </c>
      <c r="I3" s="634" t="s">
        <v>1</v>
      </c>
      <c r="J3" s="634" t="s">
        <v>1</v>
      </c>
      <c r="K3" s="634" t="s">
        <v>3</v>
      </c>
      <c r="L3" s="634" t="s">
        <v>1</v>
      </c>
      <c r="M3" s="634" t="s">
        <v>1</v>
      </c>
      <c r="N3" s="634" t="s">
        <v>2</v>
      </c>
      <c r="O3" s="634" t="s">
        <v>2</v>
      </c>
      <c r="P3" s="634" t="s">
        <v>2</v>
      </c>
      <c r="Q3" s="635" t="s">
        <v>1</v>
      </c>
      <c r="R3" s="636" t="s">
        <v>1</v>
      </c>
      <c r="S3" s="7"/>
    </row>
    <row r="4" spans="1:41" s="79" customFormat="1" ht="21" customHeight="1" x14ac:dyDescent="0.25">
      <c r="A4" s="1228" t="s">
        <v>270</v>
      </c>
      <c r="B4" s="1229"/>
      <c r="C4" s="637">
        <v>405.245</v>
      </c>
      <c r="D4" s="371">
        <v>599.10299999999995</v>
      </c>
      <c r="E4" s="371">
        <v>731.26700000000005</v>
      </c>
      <c r="F4" s="371">
        <v>732.58600000000001</v>
      </c>
      <c r="G4" s="371">
        <v>741.34</v>
      </c>
      <c r="H4" s="371">
        <v>793.04499999999996</v>
      </c>
      <c r="I4" s="371">
        <v>890.39300000000003</v>
      </c>
      <c r="J4" s="371">
        <v>913.00099999999998</v>
      </c>
      <c r="K4" s="371">
        <v>928.09199999999998</v>
      </c>
      <c r="L4" s="371">
        <v>1011.847</v>
      </c>
      <c r="M4" s="371">
        <v>1035.6949999999999</v>
      </c>
      <c r="N4" s="638">
        <v>1037.509</v>
      </c>
      <c r="O4" s="638">
        <v>1079.703</v>
      </c>
      <c r="P4" s="371">
        <v>1250.3979999999999</v>
      </c>
      <c r="Q4" s="638">
        <v>1285.79</v>
      </c>
      <c r="R4" s="639">
        <v>1389.3579999999999</v>
      </c>
    </row>
    <row r="5" spans="1:41" s="82" customFormat="1" ht="18" customHeight="1" x14ac:dyDescent="0.25">
      <c r="A5" s="80" t="s">
        <v>271</v>
      </c>
      <c r="B5" s="81"/>
      <c r="C5" s="614"/>
      <c r="D5" s="615"/>
      <c r="E5" s="615"/>
      <c r="F5" s="615"/>
      <c r="G5" s="615"/>
      <c r="H5" s="615"/>
      <c r="I5" s="616"/>
      <c r="J5" s="615"/>
      <c r="K5" s="615"/>
      <c r="L5" s="615"/>
      <c r="M5" s="615"/>
      <c r="N5" s="615"/>
      <c r="O5" s="615"/>
      <c r="P5" s="615"/>
      <c r="Q5" s="615"/>
      <c r="R5" s="629"/>
    </row>
    <row r="6" spans="1:41" s="82" customFormat="1" ht="18.75" customHeight="1" x14ac:dyDescent="0.25">
      <c r="A6" s="119" t="s">
        <v>272</v>
      </c>
      <c r="B6" s="120"/>
      <c r="C6" s="617"/>
      <c r="D6" s="618"/>
      <c r="E6" s="618"/>
      <c r="F6" s="618"/>
      <c r="G6" s="618"/>
      <c r="H6" s="618"/>
      <c r="I6" s="618"/>
      <c r="J6" s="618"/>
      <c r="K6" s="618"/>
      <c r="L6" s="618"/>
      <c r="M6" s="618"/>
      <c r="N6" s="619"/>
      <c r="O6" s="619"/>
      <c r="P6" s="618"/>
      <c r="Q6" s="619"/>
      <c r="R6" s="630"/>
    </row>
    <row r="7" spans="1:41" s="82" customFormat="1" ht="19.5" customHeight="1" x14ac:dyDescent="0.25">
      <c r="A7" s="299" t="s">
        <v>273</v>
      </c>
      <c r="B7" s="121"/>
      <c r="C7" s="640">
        <v>77.507769173833751</v>
      </c>
      <c r="D7" s="641">
        <v>85.702451773992877</v>
      </c>
      <c r="E7" s="641">
        <v>92.008714748870233</v>
      </c>
      <c r="F7" s="641">
        <v>99.816765956946313</v>
      </c>
      <c r="G7" s="641">
        <v>90.781945607801887</v>
      </c>
      <c r="H7" s="641">
        <v>93.243717239878663</v>
      </c>
      <c r="I7" s="641">
        <v>105.66935454737158</v>
      </c>
      <c r="J7" s="641">
        <v>108.89716377897322</v>
      </c>
      <c r="K7" s="641">
        <v>101.28734307277023</v>
      </c>
      <c r="L7" s="641">
        <v>105.38687923271901</v>
      </c>
      <c r="M7" s="641">
        <v>104.72924040625702</v>
      </c>
      <c r="N7" s="642">
        <v>110.33663479464091</v>
      </c>
      <c r="O7" s="642">
        <v>100.5507102944599</v>
      </c>
      <c r="P7" s="641">
        <v>110.52927838048328</v>
      </c>
      <c r="Q7" s="642">
        <v>110.14415923634841</v>
      </c>
      <c r="R7" s="643">
        <v>112.17353297246615</v>
      </c>
    </row>
    <row r="8" spans="1:41" s="82" customFormat="1" ht="19.5" customHeight="1" x14ac:dyDescent="0.25">
      <c r="A8" s="300" t="s">
        <v>284</v>
      </c>
      <c r="B8" s="122"/>
      <c r="C8" s="640">
        <v>92.086623735596078</v>
      </c>
      <c r="D8" s="641">
        <v>98.036857573347973</v>
      </c>
      <c r="E8" s="641">
        <v>96.81977616649003</v>
      </c>
      <c r="F8" s="641">
        <v>100.30849896840756</v>
      </c>
      <c r="G8" s="641">
        <v>97.062584287258574</v>
      </c>
      <c r="H8" s="641">
        <v>97.001853749538157</v>
      </c>
      <c r="I8" s="641">
        <v>101.73371383915062</v>
      </c>
      <c r="J8" s="641">
        <v>101.98260356594966</v>
      </c>
      <c r="K8" s="641">
        <v>100.43203159090251</v>
      </c>
      <c r="L8" s="641">
        <v>102.60615823426649</v>
      </c>
      <c r="M8" s="641">
        <v>100.67932489611854</v>
      </c>
      <c r="N8" s="642">
        <v>102.85611224212087</v>
      </c>
      <c r="O8" s="642">
        <v>102.98120327616114</v>
      </c>
      <c r="P8" s="641">
        <v>99.138730555965211</v>
      </c>
      <c r="Q8" s="642">
        <v>102.60615823426649</v>
      </c>
      <c r="R8" s="643">
        <v>102.98120327616114</v>
      </c>
    </row>
    <row r="9" spans="1:41" s="82" customFormat="1" ht="19.5" customHeight="1" x14ac:dyDescent="0.25">
      <c r="A9" s="1175" t="s">
        <v>274</v>
      </c>
      <c r="B9" s="123"/>
      <c r="C9" s="644">
        <v>38.079960424193381</v>
      </c>
      <c r="D9" s="645">
        <v>39.550471534981675</v>
      </c>
      <c r="E9" s="645">
        <v>42.994479070483223</v>
      </c>
      <c r="F9" s="645">
        <v>45.020836962785438</v>
      </c>
      <c r="G9" s="645">
        <v>42.315106414306996</v>
      </c>
      <c r="H9" s="645">
        <v>43.489793569275164</v>
      </c>
      <c r="I9" s="645">
        <v>46.992868661115125</v>
      </c>
      <c r="J9" s="645">
        <v>48.310137664533279</v>
      </c>
      <c r="K9" s="645">
        <v>45.627926423698895</v>
      </c>
      <c r="L9" s="645">
        <v>46.468742324822593</v>
      </c>
      <c r="M9" s="645">
        <v>47.062550583882533</v>
      </c>
      <c r="N9" s="646">
        <v>48.533032769468122</v>
      </c>
      <c r="O9" s="646">
        <v>44.174839701238255</v>
      </c>
      <c r="P9" s="645">
        <v>50.440778690488742</v>
      </c>
      <c r="Q9" s="646">
        <v>48.566392623087161</v>
      </c>
      <c r="R9" s="647">
        <v>49.2810823838932</v>
      </c>
    </row>
    <row r="10" spans="1:41" s="85" customFormat="1" ht="16.5" customHeight="1" x14ac:dyDescent="0.25">
      <c r="A10" s="119" t="s">
        <v>277</v>
      </c>
      <c r="B10" s="120"/>
      <c r="C10" s="626"/>
      <c r="D10" s="627"/>
      <c r="E10" s="627"/>
      <c r="F10" s="627"/>
      <c r="G10" s="627"/>
      <c r="H10" s="627"/>
      <c r="I10" s="627"/>
      <c r="J10" s="627"/>
      <c r="K10" s="627"/>
      <c r="L10" s="627"/>
      <c r="M10" s="627"/>
      <c r="N10" s="628"/>
      <c r="O10" s="628"/>
      <c r="P10" s="627"/>
      <c r="Q10" s="628"/>
      <c r="R10" s="631"/>
      <c r="S10" s="83"/>
      <c r="T10" s="83"/>
      <c r="U10" s="83"/>
      <c r="V10" s="83"/>
      <c r="W10" s="83"/>
      <c r="X10" s="83"/>
      <c r="Y10" s="83"/>
      <c r="Z10" s="83"/>
      <c r="AA10" s="83"/>
      <c r="AB10" s="83"/>
      <c r="AC10" s="83"/>
      <c r="AD10" s="83"/>
      <c r="AE10" s="83"/>
      <c r="AF10" s="83"/>
      <c r="AG10" s="83"/>
      <c r="AH10" s="83"/>
      <c r="AI10" s="83"/>
      <c r="AJ10" s="83"/>
      <c r="AK10" s="83"/>
      <c r="AL10" s="83"/>
      <c r="AM10" s="83"/>
      <c r="AN10" s="83"/>
      <c r="AO10" s="83"/>
    </row>
    <row r="11" spans="1:41" s="82" customFormat="1" ht="20.25" customHeight="1" x14ac:dyDescent="0.25">
      <c r="A11" s="299" t="s">
        <v>275</v>
      </c>
      <c r="B11" s="121"/>
      <c r="C11" s="640">
        <v>69.280660434366041</v>
      </c>
      <c r="D11" s="641">
        <v>74.532746650114248</v>
      </c>
      <c r="E11" s="641">
        <v>95.335926419018307</v>
      </c>
      <c r="F11" s="641">
        <v>107.81667406305205</v>
      </c>
      <c r="G11" s="641">
        <v>93.425435250689134</v>
      </c>
      <c r="H11" s="641">
        <v>97.654040601804709</v>
      </c>
      <c r="I11" s="641">
        <v>112.46008127322251</v>
      </c>
      <c r="J11" s="641">
        <v>111.41975308641976</v>
      </c>
      <c r="K11" s="641">
        <v>119.87773726685677</v>
      </c>
      <c r="L11" s="641">
        <v>108.02096899415929</v>
      </c>
      <c r="M11" s="641">
        <v>109.76528320421082</v>
      </c>
      <c r="N11" s="642">
        <v>131.78678783202761</v>
      </c>
      <c r="O11" s="642">
        <v>108.225457294818</v>
      </c>
      <c r="P11" s="641">
        <v>114.45002315600384</v>
      </c>
      <c r="Q11" s="642">
        <v>105.17843658783958</v>
      </c>
      <c r="R11" s="643">
        <v>112.98205820616872</v>
      </c>
    </row>
    <row r="12" spans="1:41" s="82" customFormat="1" ht="20.25" customHeight="1" x14ac:dyDescent="0.25">
      <c r="A12" s="300" t="s">
        <v>276</v>
      </c>
      <c r="B12" s="122"/>
      <c r="C12" s="640">
        <v>89.086466230032684</v>
      </c>
      <c r="D12" s="641">
        <v>92.757230084248263</v>
      </c>
      <c r="E12" s="641">
        <v>97.323257259469727</v>
      </c>
      <c r="F12" s="641">
        <v>102.25835759049102</v>
      </c>
      <c r="G12" s="641">
        <v>100.9003170027365</v>
      </c>
      <c r="H12" s="641">
        <v>97.259967872582166</v>
      </c>
      <c r="I12" s="641">
        <v>103.88690910135145</v>
      </c>
      <c r="J12" s="641">
        <v>104.5419321264812</v>
      </c>
      <c r="K12" s="641">
        <v>109.92348561177698</v>
      </c>
      <c r="L12" s="641">
        <v>102.45310445816038</v>
      </c>
      <c r="M12" s="641">
        <v>103.42961780682771</v>
      </c>
      <c r="N12" s="642">
        <v>110.39489839578027</v>
      </c>
      <c r="O12" s="642">
        <v>106.91705961357965</v>
      </c>
      <c r="P12" s="641">
        <v>102.58303862958151</v>
      </c>
      <c r="Q12" s="642">
        <v>101.35198852083469</v>
      </c>
      <c r="R12" s="643">
        <v>102.25835759049102</v>
      </c>
    </row>
    <row r="13" spans="1:41" s="82" customFormat="1" ht="20.25" customHeight="1" x14ac:dyDescent="0.25">
      <c r="A13" s="1175" t="s">
        <v>274</v>
      </c>
      <c r="B13" s="123"/>
      <c r="C13" s="644">
        <v>33.115291280644001</v>
      </c>
      <c r="D13" s="645">
        <v>34.215874737738687</v>
      </c>
      <c r="E13" s="645">
        <v>41.712694824509214</v>
      </c>
      <c r="F13" s="645">
        <v>44.896802288129045</v>
      </c>
      <c r="G13" s="645">
        <v>39.427649918225356</v>
      </c>
      <c r="H13" s="645">
        <v>42.754751692051492</v>
      </c>
      <c r="I13" s="645">
        <v>46.096278046618707</v>
      </c>
      <c r="J13" s="645">
        <v>45.383706497479707</v>
      </c>
      <c r="K13" s="645">
        <v>46.438302728584297</v>
      </c>
      <c r="L13" s="645">
        <v>44.896371065975835</v>
      </c>
      <c r="M13" s="645">
        <v>45.190627829911719</v>
      </c>
      <c r="N13" s="646">
        <v>50.833634403589535</v>
      </c>
      <c r="O13" s="646">
        <v>43.103319310698232</v>
      </c>
      <c r="P13" s="645">
        <v>47.508204613205507</v>
      </c>
      <c r="Q13" s="646">
        <v>44.18987058451247</v>
      </c>
      <c r="R13" s="647">
        <v>47.047761150763996</v>
      </c>
    </row>
    <row r="14" spans="1:41" s="86" customFormat="1" ht="17.25" customHeight="1" x14ac:dyDescent="0.25">
      <c r="A14" s="80" t="s">
        <v>281</v>
      </c>
      <c r="B14" s="81"/>
      <c r="C14" s="623"/>
      <c r="D14" s="624"/>
      <c r="E14" s="624"/>
      <c r="F14" s="624"/>
      <c r="G14" s="624"/>
      <c r="H14" s="624"/>
      <c r="I14" s="625"/>
      <c r="J14" s="624"/>
      <c r="K14" s="624"/>
      <c r="L14" s="624"/>
      <c r="M14" s="624"/>
      <c r="N14" s="624"/>
      <c r="O14" s="624"/>
      <c r="P14" s="624"/>
      <c r="Q14" s="624"/>
      <c r="R14" s="632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</row>
    <row r="15" spans="1:41" s="85" customFormat="1" ht="21" customHeight="1" x14ac:dyDescent="0.25">
      <c r="A15" s="548" t="s">
        <v>278</v>
      </c>
      <c r="B15" s="1177" t="s">
        <v>280</v>
      </c>
      <c r="C15" s="649">
        <v>48.61</v>
      </c>
      <c r="D15" s="536">
        <v>50.51</v>
      </c>
      <c r="E15" s="536">
        <v>55.05</v>
      </c>
      <c r="F15" s="536">
        <v>56.65</v>
      </c>
      <c r="G15" s="536">
        <v>57.41</v>
      </c>
      <c r="H15" s="536">
        <v>55.47</v>
      </c>
      <c r="I15" s="60">
        <v>56.92</v>
      </c>
      <c r="J15" s="60">
        <v>54.05</v>
      </c>
      <c r="K15" s="536">
        <v>57.96</v>
      </c>
      <c r="L15" s="536">
        <v>57.84</v>
      </c>
      <c r="M15" s="536">
        <v>58.44</v>
      </c>
      <c r="N15" s="60">
        <v>65.23</v>
      </c>
      <c r="O15" s="60">
        <v>52.93</v>
      </c>
      <c r="P15" s="536">
        <v>53.04</v>
      </c>
      <c r="Q15" s="60">
        <v>53.32</v>
      </c>
      <c r="R15" s="650">
        <v>55.38</v>
      </c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  <c r="AI15" s="83"/>
      <c r="AJ15" s="83"/>
      <c r="AK15" s="83"/>
      <c r="AL15" s="83"/>
      <c r="AM15" s="83"/>
      <c r="AN15" s="83"/>
      <c r="AO15" s="83"/>
    </row>
    <row r="16" spans="1:41" s="83" customFormat="1" ht="21" customHeight="1" x14ac:dyDescent="0.25">
      <c r="A16" s="1176" t="s">
        <v>279</v>
      </c>
      <c r="B16" s="537" t="s">
        <v>280</v>
      </c>
      <c r="C16" s="651">
        <v>60.03</v>
      </c>
      <c r="D16" s="322">
        <v>56.56</v>
      </c>
      <c r="E16" s="322">
        <v>58.69</v>
      </c>
      <c r="F16" s="322">
        <v>51.63</v>
      </c>
      <c r="G16" s="322">
        <v>70.67</v>
      </c>
      <c r="H16" s="322">
        <v>54.79</v>
      </c>
      <c r="I16" s="539">
        <v>55.76</v>
      </c>
      <c r="J16" s="539">
        <v>54.09</v>
      </c>
      <c r="K16" s="322">
        <v>48.28</v>
      </c>
      <c r="L16" s="322">
        <v>56.26</v>
      </c>
      <c r="M16" s="322">
        <v>64.959999999999994</v>
      </c>
      <c r="N16" s="539">
        <v>57.38</v>
      </c>
      <c r="O16" s="539">
        <v>57.37</v>
      </c>
      <c r="P16" s="322">
        <v>56.61</v>
      </c>
      <c r="Q16" s="539">
        <v>44.98</v>
      </c>
      <c r="R16" s="652">
        <v>51.27</v>
      </c>
    </row>
    <row r="17" spans="1:41" s="87" customFormat="1" ht="21" customHeight="1" x14ac:dyDescent="0.25">
      <c r="A17" s="80" t="s">
        <v>282</v>
      </c>
      <c r="B17" s="451"/>
      <c r="C17" s="623"/>
      <c r="D17" s="624"/>
      <c r="E17" s="624"/>
      <c r="F17" s="624"/>
      <c r="G17" s="624"/>
      <c r="H17" s="624"/>
      <c r="I17" s="625"/>
      <c r="J17" s="624"/>
      <c r="K17" s="624"/>
      <c r="L17" s="624"/>
      <c r="M17" s="624"/>
      <c r="N17" s="624"/>
      <c r="O17" s="624"/>
      <c r="P17" s="624"/>
      <c r="Q17" s="624"/>
      <c r="R17" s="632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</row>
    <row r="18" spans="1:41" s="89" customFormat="1" ht="21" customHeight="1" x14ac:dyDescent="0.25">
      <c r="A18" s="1176" t="s">
        <v>279</v>
      </c>
      <c r="B18" s="1178" t="s">
        <v>283</v>
      </c>
      <c r="C18" s="649">
        <v>51.83</v>
      </c>
      <c r="D18" s="536">
        <v>49.15</v>
      </c>
      <c r="E18" s="536">
        <v>51.74</v>
      </c>
      <c r="F18" s="536">
        <v>50.23</v>
      </c>
      <c r="G18" s="536">
        <v>55.57</v>
      </c>
      <c r="H18" s="536">
        <v>50.49</v>
      </c>
      <c r="I18" s="60">
        <v>50.33</v>
      </c>
      <c r="J18" s="60">
        <v>47.89</v>
      </c>
      <c r="K18" s="536">
        <v>43.87</v>
      </c>
      <c r="L18" s="536">
        <v>47.8</v>
      </c>
      <c r="M18" s="536">
        <v>49.52</v>
      </c>
      <c r="N18" s="60">
        <v>48.07</v>
      </c>
      <c r="O18" s="60">
        <v>47.72</v>
      </c>
      <c r="P18" s="536">
        <v>43.88</v>
      </c>
      <c r="Q18" s="60">
        <v>41.73</v>
      </c>
      <c r="R18" s="650">
        <v>45.77</v>
      </c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13"/>
      <c r="AL18" s="13"/>
      <c r="AM18" s="13"/>
      <c r="AN18" s="13"/>
      <c r="AO18" s="13"/>
    </row>
    <row r="19" spans="1:41" s="82" customFormat="1" ht="18" customHeight="1" x14ac:dyDescent="0.25">
      <c r="A19" s="80" t="s">
        <v>271</v>
      </c>
      <c r="B19" s="81"/>
      <c r="C19" s="614"/>
      <c r="D19" s="615"/>
      <c r="E19" s="615"/>
      <c r="F19" s="615"/>
      <c r="G19" s="615"/>
      <c r="H19" s="615"/>
      <c r="I19" s="616"/>
      <c r="J19" s="615"/>
      <c r="K19" s="615"/>
      <c r="L19" s="615"/>
      <c r="M19" s="615"/>
      <c r="N19" s="615"/>
      <c r="O19" s="615"/>
      <c r="P19" s="615"/>
      <c r="Q19" s="615"/>
      <c r="R19" s="629"/>
    </row>
    <row r="20" spans="1:41" s="82" customFormat="1" ht="18.75" customHeight="1" x14ac:dyDescent="0.25">
      <c r="A20" s="119" t="s">
        <v>272</v>
      </c>
      <c r="B20" s="120"/>
      <c r="C20" s="617"/>
      <c r="D20" s="618"/>
      <c r="E20" s="618"/>
      <c r="F20" s="618"/>
      <c r="G20" s="618"/>
      <c r="H20" s="618"/>
      <c r="I20" s="618"/>
      <c r="J20" s="618"/>
      <c r="K20" s="618"/>
      <c r="L20" s="618"/>
      <c r="M20" s="618"/>
      <c r="N20" s="619"/>
      <c r="O20" s="619"/>
      <c r="P20" s="618"/>
      <c r="Q20" s="619"/>
      <c r="R20" s="630"/>
    </row>
    <row r="21" spans="1:41" s="84" customFormat="1" ht="19.5" customHeight="1" x14ac:dyDescent="0.25">
      <c r="A21" s="299" t="s">
        <v>213</v>
      </c>
      <c r="B21" s="121"/>
      <c r="C21" s="640">
        <v>75.247656050867661</v>
      </c>
      <c r="D21" s="641">
        <v>81.757669070893684</v>
      </c>
      <c r="E21" s="641">
        <v>103.1744063488127</v>
      </c>
      <c r="F21" s="641">
        <v>96.359214940652095</v>
      </c>
      <c r="G21" s="641">
        <v>95.07529570614696</v>
      </c>
      <c r="H21" s="641">
        <v>97.392550340656229</v>
      </c>
      <c r="I21" s="642">
        <v>113.83377766755531</v>
      </c>
      <c r="J21" s="642">
        <v>110.498170996342</v>
      </c>
      <c r="K21" s="641">
        <v>104.78020956041911</v>
      </c>
      <c r="L21" s="641">
        <v>101.84570924697405</v>
      </c>
      <c r="M21" s="641">
        <v>108.84896769793539</v>
      </c>
      <c r="N21" s="642">
        <v>112.995225990452</v>
      </c>
      <c r="O21" s="642">
        <v>125.60467343156907</v>
      </c>
      <c r="P21" s="641">
        <v>112.43791376471644</v>
      </c>
      <c r="Q21" s="642">
        <v>106.12785114459118</v>
      </c>
      <c r="R21" s="643">
        <v>106.94056943669443</v>
      </c>
    </row>
    <row r="22" spans="1:41" s="85" customFormat="1" ht="19.5" customHeight="1" x14ac:dyDescent="0.25">
      <c r="A22" s="299" t="s">
        <v>214</v>
      </c>
      <c r="B22" s="540"/>
      <c r="C22" s="640">
        <v>62.281957633308984</v>
      </c>
      <c r="D22" s="641">
        <v>63.138056975894806</v>
      </c>
      <c r="E22" s="641">
        <v>86.69119795471147</v>
      </c>
      <c r="F22" s="641">
        <v>94.930788897005115</v>
      </c>
      <c r="G22" s="641">
        <v>90.764243973703429</v>
      </c>
      <c r="H22" s="641">
        <v>89.99342585829072</v>
      </c>
      <c r="I22" s="642">
        <v>105.2010591672754</v>
      </c>
      <c r="J22" s="642">
        <v>111.10299488677869</v>
      </c>
      <c r="K22" s="641">
        <v>101.35591672753834</v>
      </c>
      <c r="L22" s="641">
        <v>111.95927684441199</v>
      </c>
      <c r="M22" s="641">
        <v>123.39006574141709</v>
      </c>
      <c r="N22" s="642">
        <v>127.62892622352082</v>
      </c>
      <c r="O22" s="642">
        <v>100</v>
      </c>
      <c r="P22" s="641">
        <v>123.09002921840759</v>
      </c>
      <c r="Q22" s="642">
        <v>123.69046749452156</v>
      </c>
      <c r="R22" s="643">
        <v>123.09002921840759</v>
      </c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83"/>
      <c r="AO22" s="83"/>
    </row>
    <row r="23" spans="1:41" s="85" customFormat="1" ht="16.5" customHeight="1" x14ac:dyDescent="0.25">
      <c r="A23" s="119" t="s">
        <v>277</v>
      </c>
      <c r="B23" s="120"/>
      <c r="C23" s="626"/>
      <c r="D23" s="627"/>
      <c r="E23" s="627"/>
      <c r="F23" s="627"/>
      <c r="G23" s="627"/>
      <c r="H23" s="627"/>
      <c r="I23" s="627"/>
      <c r="J23" s="627"/>
      <c r="K23" s="627"/>
      <c r="L23" s="627"/>
      <c r="M23" s="627"/>
      <c r="N23" s="628"/>
      <c r="O23" s="628"/>
      <c r="P23" s="627"/>
      <c r="Q23" s="628"/>
      <c r="R23" s="631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  <c r="AO23" s="83"/>
    </row>
    <row r="24" spans="1:41" s="82" customFormat="1" ht="20.25" customHeight="1" x14ac:dyDescent="0.25">
      <c r="A24" s="541" t="s">
        <v>215</v>
      </c>
      <c r="B24" s="542"/>
      <c r="C24" s="640">
        <v>60.654181834130071</v>
      </c>
      <c r="D24" s="641">
        <v>66.56830840752599</v>
      </c>
      <c r="E24" s="641">
        <v>103.74299372834525</v>
      </c>
      <c r="F24" s="641">
        <v>110.87671593351169</v>
      </c>
      <c r="G24" s="641">
        <v>95.030217972895912</v>
      </c>
      <c r="H24" s="641">
        <v>96.84645410289022</v>
      </c>
      <c r="I24" s="641">
        <v>122.3148107539143</v>
      </c>
      <c r="J24" s="641">
        <v>112.83785798868473</v>
      </c>
      <c r="K24" s="641">
        <v>135.85369062760404</v>
      </c>
      <c r="L24" s="641">
        <v>106.18551817902724</v>
      </c>
      <c r="M24" s="641">
        <v>115.66931274944081</v>
      </c>
      <c r="N24" s="642">
        <v>127.34599359677208</v>
      </c>
      <c r="O24" s="642">
        <v>124.37419411429322</v>
      </c>
      <c r="P24" s="641">
        <v>134.92899434235341</v>
      </c>
      <c r="Q24" s="642">
        <v>112.2757773781852</v>
      </c>
      <c r="R24" s="643">
        <v>111.43528792596815</v>
      </c>
    </row>
    <row r="25" spans="1:41" s="82" customFormat="1" ht="20.25" customHeight="1" x14ac:dyDescent="0.25">
      <c r="A25" s="543" t="s">
        <v>216</v>
      </c>
      <c r="B25" s="544"/>
      <c r="C25" s="653">
        <v>69.401116138249279</v>
      </c>
      <c r="D25" s="654">
        <v>67.850302155611971</v>
      </c>
      <c r="E25" s="654">
        <v>91.454460050476897</v>
      </c>
      <c r="F25" s="654">
        <v>104.41587710310284</v>
      </c>
      <c r="G25" s="654">
        <v>121.99736663413492</v>
      </c>
      <c r="H25" s="654">
        <v>92.351800156249624</v>
      </c>
      <c r="I25" s="654">
        <v>109.57941593794797</v>
      </c>
      <c r="J25" s="654">
        <v>107.62848610668297</v>
      </c>
      <c r="K25" s="654">
        <v>125.81769417422564</v>
      </c>
      <c r="L25" s="654">
        <v>100</v>
      </c>
      <c r="M25" s="654">
        <v>125.11870833647696</v>
      </c>
      <c r="N25" s="655">
        <v>151.12502159992798</v>
      </c>
      <c r="O25" s="655">
        <v>114.86756506141683</v>
      </c>
      <c r="P25" s="654">
        <v>140.94616202744834</v>
      </c>
      <c r="Q25" s="655">
        <v>114.5334050491505</v>
      </c>
      <c r="R25" s="656">
        <v>120.6227593877546</v>
      </c>
    </row>
    <row r="26" spans="1:41" s="86" customFormat="1" ht="17.25" customHeight="1" x14ac:dyDescent="0.25">
      <c r="A26" s="80" t="s">
        <v>281</v>
      </c>
      <c r="B26" s="81"/>
      <c r="C26" s="623"/>
      <c r="D26" s="624"/>
      <c r="E26" s="624"/>
      <c r="F26" s="624"/>
      <c r="G26" s="624"/>
      <c r="H26" s="624"/>
      <c r="I26" s="625"/>
      <c r="J26" s="624"/>
      <c r="K26" s="624"/>
      <c r="L26" s="624"/>
      <c r="M26" s="624"/>
      <c r="N26" s="624"/>
      <c r="O26" s="624"/>
      <c r="P26" s="624"/>
      <c r="Q26" s="624"/>
      <c r="R26" s="632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  <c r="AD26" s="84"/>
      <c r="AE26" s="84"/>
      <c r="AF26" s="84"/>
      <c r="AG26" s="84"/>
      <c r="AH26" s="84"/>
      <c r="AI26" s="84"/>
      <c r="AJ26" s="84"/>
      <c r="AK26" s="84"/>
      <c r="AL26" s="84"/>
      <c r="AM26" s="84"/>
      <c r="AN26" s="84"/>
      <c r="AO26" s="84"/>
    </row>
    <row r="27" spans="1:41" s="547" customFormat="1" ht="21" customHeight="1" x14ac:dyDescent="0.25">
      <c r="A27" s="548" t="s">
        <v>278</v>
      </c>
      <c r="B27" s="1179" t="s">
        <v>293</v>
      </c>
      <c r="C27" s="657">
        <v>48.87</v>
      </c>
      <c r="D27" s="546">
        <v>56.8</v>
      </c>
      <c r="E27" s="546">
        <v>49.58</v>
      </c>
      <c r="F27" s="546">
        <v>53.01</v>
      </c>
      <c r="G27" s="546">
        <v>55.62</v>
      </c>
      <c r="H27" s="546">
        <v>52.05</v>
      </c>
      <c r="I27" s="59">
        <v>53.05</v>
      </c>
      <c r="J27" s="59">
        <v>52.75</v>
      </c>
      <c r="K27" s="546">
        <v>54.73</v>
      </c>
      <c r="L27" s="546">
        <v>53.9</v>
      </c>
      <c r="M27" s="546">
        <v>56.46</v>
      </c>
      <c r="N27" s="59">
        <v>50.9</v>
      </c>
      <c r="O27" s="59">
        <v>54.96</v>
      </c>
      <c r="P27" s="546">
        <v>52.01</v>
      </c>
      <c r="Q27" s="59">
        <v>52.63</v>
      </c>
      <c r="R27" s="658">
        <v>50.27</v>
      </c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  <c r="AI27" s="83"/>
      <c r="AJ27" s="83"/>
      <c r="AK27" s="83"/>
      <c r="AL27" s="83"/>
      <c r="AM27" s="83"/>
      <c r="AN27" s="83"/>
      <c r="AO27" s="83"/>
    </row>
    <row r="28" spans="1:41" s="85" customFormat="1" ht="21" customHeight="1" x14ac:dyDescent="0.25">
      <c r="A28" s="534"/>
      <c r="B28" s="1179" t="s">
        <v>294</v>
      </c>
      <c r="C28" s="649">
        <v>44.93</v>
      </c>
      <c r="D28" s="536">
        <v>51.5</v>
      </c>
      <c r="E28" s="536">
        <v>55.89</v>
      </c>
      <c r="F28" s="536">
        <v>61.86</v>
      </c>
      <c r="G28" s="536">
        <v>59.11</v>
      </c>
      <c r="H28" s="536">
        <v>51.78</v>
      </c>
      <c r="I28" s="60">
        <v>56.46</v>
      </c>
      <c r="J28" s="60">
        <v>60.46</v>
      </c>
      <c r="K28" s="536">
        <v>57.68</v>
      </c>
      <c r="L28" s="536">
        <v>59.35</v>
      </c>
      <c r="M28" s="536">
        <v>66.3</v>
      </c>
      <c r="N28" s="60">
        <v>67.02</v>
      </c>
      <c r="O28" s="60">
        <v>66.430000000000007</v>
      </c>
      <c r="P28" s="536">
        <v>55.49</v>
      </c>
      <c r="Q28" s="60">
        <v>56.3</v>
      </c>
      <c r="R28" s="650">
        <v>59.11</v>
      </c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</row>
    <row r="29" spans="1:41" s="85" customFormat="1" ht="21" customHeight="1" x14ac:dyDescent="0.25">
      <c r="A29" s="1176" t="s">
        <v>279</v>
      </c>
      <c r="B29" s="1179" t="s">
        <v>293</v>
      </c>
      <c r="C29" s="657">
        <v>61.37</v>
      </c>
      <c r="D29" s="546">
        <v>61.33</v>
      </c>
      <c r="E29" s="546">
        <v>62.89</v>
      </c>
      <c r="F29" s="546">
        <v>55.06</v>
      </c>
      <c r="G29" s="546">
        <v>63.63</v>
      </c>
      <c r="H29" s="546">
        <v>56.71</v>
      </c>
      <c r="I29" s="59">
        <v>55.7</v>
      </c>
      <c r="J29" s="59">
        <v>56.3</v>
      </c>
      <c r="K29" s="546">
        <v>51.51</v>
      </c>
      <c r="L29" s="546">
        <v>59.31</v>
      </c>
      <c r="M29" s="546">
        <v>59.77</v>
      </c>
      <c r="N29" s="59">
        <v>58.71</v>
      </c>
      <c r="O29" s="59">
        <v>57.66</v>
      </c>
      <c r="P29" s="546">
        <v>53.95</v>
      </c>
      <c r="Q29" s="59">
        <v>54.14</v>
      </c>
      <c r="R29" s="658">
        <v>53.62</v>
      </c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</row>
    <row r="30" spans="1:41" s="85" customFormat="1" ht="21" customHeight="1" x14ac:dyDescent="0.25">
      <c r="A30" s="534"/>
      <c r="B30" s="1179" t="s">
        <v>294</v>
      </c>
      <c r="C30" s="649">
        <v>66.98</v>
      </c>
      <c r="D30" s="536">
        <v>68.8</v>
      </c>
      <c r="E30" s="536">
        <v>68.900000000000006</v>
      </c>
      <c r="F30" s="536">
        <v>60.86</v>
      </c>
      <c r="G30" s="536">
        <v>69.489999999999995</v>
      </c>
      <c r="H30" s="536">
        <v>61.11</v>
      </c>
      <c r="I30" s="60">
        <v>65.400000000000006</v>
      </c>
      <c r="J30" s="60">
        <v>61.77</v>
      </c>
      <c r="K30" s="536">
        <v>52.77</v>
      </c>
      <c r="L30" s="536">
        <v>63.63</v>
      </c>
      <c r="M30" s="536">
        <v>67.84</v>
      </c>
      <c r="N30" s="60">
        <v>69.2</v>
      </c>
      <c r="O30" s="60">
        <v>67.599999999999994</v>
      </c>
      <c r="P30" s="536">
        <v>58.04</v>
      </c>
      <c r="Q30" s="60">
        <v>56.4</v>
      </c>
      <c r="R30" s="650">
        <v>59.99</v>
      </c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/>
      <c r="AJ30" s="83"/>
      <c r="AK30" s="83"/>
      <c r="AL30" s="83"/>
      <c r="AM30" s="83"/>
      <c r="AN30" s="83"/>
      <c r="AO30" s="83"/>
    </row>
    <row r="31" spans="1:41" s="87" customFormat="1" ht="21" customHeight="1" x14ac:dyDescent="0.25">
      <c r="A31" s="80" t="s">
        <v>282</v>
      </c>
      <c r="B31" s="451"/>
      <c r="C31" s="623"/>
      <c r="D31" s="624"/>
      <c r="E31" s="624"/>
      <c r="F31" s="624"/>
      <c r="G31" s="624"/>
      <c r="H31" s="624"/>
      <c r="I31" s="625"/>
      <c r="J31" s="624"/>
      <c r="K31" s="624"/>
      <c r="L31" s="624"/>
      <c r="M31" s="624"/>
      <c r="N31" s="624"/>
      <c r="O31" s="624"/>
      <c r="P31" s="624"/>
      <c r="Q31" s="624"/>
      <c r="R31" s="632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</row>
    <row r="32" spans="1:41" s="88" customFormat="1" ht="21" customHeight="1" x14ac:dyDescent="0.25">
      <c r="A32" s="1176" t="s">
        <v>279</v>
      </c>
      <c r="B32" s="1179" t="s">
        <v>293</v>
      </c>
      <c r="C32" s="657">
        <v>36.130000000000003</v>
      </c>
      <c r="D32" s="546">
        <v>35.950000000000003</v>
      </c>
      <c r="E32" s="546">
        <v>34.97</v>
      </c>
      <c r="F32" s="546">
        <v>29.27</v>
      </c>
      <c r="G32" s="546">
        <v>30.14</v>
      </c>
      <c r="H32" s="546">
        <v>29.41</v>
      </c>
      <c r="I32" s="59">
        <v>32.51</v>
      </c>
      <c r="J32" s="59">
        <v>30.16</v>
      </c>
      <c r="K32" s="546">
        <v>26.4</v>
      </c>
      <c r="L32" s="546">
        <v>28.61</v>
      </c>
      <c r="M32" s="546">
        <v>27.04</v>
      </c>
      <c r="N32" s="59">
        <v>24.98</v>
      </c>
      <c r="O32" s="59">
        <v>29.25</v>
      </c>
      <c r="P32" s="546">
        <v>23.01</v>
      </c>
      <c r="Q32" s="59">
        <v>26.59</v>
      </c>
      <c r="R32" s="658">
        <v>24.55</v>
      </c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</row>
    <row r="33" spans="1:41" s="89" customFormat="1" ht="21" customHeight="1" x14ac:dyDescent="0.25">
      <c r="A33" s="548"/>
      <c r="B33" s="1179" t="s">
        <v>294</v>
      </c>
      <c r="C33" s="649">
        <v>58.66</v>
      </c>
      <c r="D33" s="536">
        <v>63.81</v>
      </c>
      <c r="E33" s="536">
        <v>57.51</v>
      </c>
      <c r="F33" s="536">
        <v>49.06</v>
      </c>
      <c r="G33" s="536">
        <v>53.23</v>
      </c>
      <c r="H33" s="536">
        <v>51.27</v>
      </c>
      <c r="I33" s="60">
        <v>51.47</v>
      </c>
      <c r="J33" s="60">
        <v>53.24</v>
      </c>
      <c r="K33" s="536">
        <v>42.27</v>
      </c>
      <c r="L33" s="536">
        <v>55.6</v>
      </c>
      <c r="M33" s="536">
        <v>50.66</v>
      </c>
      <c r="N33" s="60">
        <v>50.25</v>
      </c>
      <c r="O33" s="60">
        <v>43.78</v>
      </c>
      <c r="P33" s="536">
        <v>48.48</v>
      </c>
      <c r="Q33" s="60">
        <v>47.95</v>
      </c>
      <c r="R33" s="650">
        <v>47.58</v>
      </c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</row>
    <row r="34" spans="1:41" s="13" customFormat="1" ht="9.75" customHeight="1" x14ac:dyDescent="0.25">
      <c r="A34" s="621"/>
      <c r="B34" s="622"/>
      <c r="C34" s="623"/>
      <c r="D34" s="624"/>
      <c r="E34" s="624"/>
      <c r="F34" s="624"/>
      <c r="G34" s="624"/>
      <c r="H34" s="624"/>
      <c r="I34" s="625"/>
      <c r="J34" s="624"/>
      <c r="K34" s="624"/>
      <c r="L34" s="624"/>
      <c r="M34" s="624"/>
      <c r="N34" s="624"/>
      <c r="O34" s="624"/>
      <c r="P34" s="624"/>
      <c r="Q34" s="624"/>
      <c r="R34" s="632"/>
    </row>
    <row r="35" spans="1:41" s="83" customFormat="1" ht="17.25" customHeight="1" x14ac:dyDescent="0.25">
      <c r="A35" s="67"/>
      <c r="B35" s="40" t="s">
        <v>285</v>
      </c>
      <c r="C35" s="659">
        <v>2001</v>
      </c>
      <c r="D35" s="660">
        <v>1969</v>
      </c>
      <c r="E35" s="660">
        <v>2019</v>
      </c>
      <c r="F35" s="660">
        <v>1994</v>
      </c>
      <c r="G35" s="660">
        <v>2021</v>
      </c>
      <c r="H35" s="660">
        <v>2011</v>
      </c>
      <c r="I35" s="660">
        <v>2018</v>
      </c>
      <c r="J35" s="660">
        <v>2015</v>
      </c>
      <c r="K35" s="660">
        <v>2021</v>
      </c>
      <c r="L35" s="660">
        <v>2009</v>
      </c>
      <c r="M35" s="660">
        <v>2001</v>
      </c>
      <c r="N35" s="345">
        <v>2022</v>
      </c>
      <c r="O35" s="345">
        <v>2022</v>
      </c>
      <c r="P35" s="660">
        <v>2021</v>
      </c>
      <c r="Q35" s="660">
        <v>1981</v>
      </c>
      <c r="R35" s="648">
        <v>2015</v>
      </c>
    </row>
    <row r="36" spans="1:41" s="83" customFormat="1" ht="45.5" customHeight="1" x14ac:dyDescent="0.25">
      <c r="A36" s="67"/>
      <c r="B36" s="40" t="s">
        <v>367</v>
      </c>
      <c r="C36" s="1199" t="s">
        <v>383</v>
      </c>
      <c r="D36" s="1199" t="s">
        <v>383</v>
      </c>
      <c r="E36" s="1206" t="s">
        <v>369</v>
      </c>
      <c r="F36" s="1199" t="s">
        <v>383</v>
      </c>
      <c r="G36" s="1206" t="s">
        <v>400</v>
      </c>
      <c r="H36" s="1206" t="s">
        <v>369</v>
      </c>
      <c r="I36" s="1199" t="s">
        <v>383</v>
      </c>
      <c r="J36" s="1206" t="s">
        <v>369</v>
      </c>
      <c r="K36" s="1199" t="s">
        <v>383</v>
      </c>
      <c r="L36" s="1211" t="s">
        <v>379</v>
      </c>
      <c r="M36" s="1206" t="s">
        <v>401</v>
      </c>
      <c r="N36" s="1206" t="s">
        <v>369</v>
      </c>
      <c r="O36" s="1207" t="s">
        <v>400</v>
      </c>
      <c r="P36" s="1206" t="s">
        <v>403</v>
      </c>
      <c r="Q36" s="1206" t="s">
        <v>369</v>
      </c>
      <c r="R36" s="1211" t="s">
        <v>379</v>
      </c>
    </row>
    <row r="37" spans="1:41" s="83" customFormat="1" ht="45.5" customHeight="1" x14ac:dyDescent="0.25">
      <c r="A37" s="67"/>
      <c r="B37" s="40" t="s">
        <v>384</v>
      </c>
      <c r="C37" s="278" t="s">
        <v>376</v>
      </c>
      <c r="D37" s="1212" t="s">
        <v>396</v>
      </c>
      <c r="E37" s="1206" t="s">
        <v>386</v>
      </c>
      <c r="F37" s="278" t="s">
        <v>376</v>
      </c>
      <c r="G37" s="1206" t="s">
        <v>374</v>
      </c>
      <c r="H37" s="1206" t="s">
        <v>374</v>
      </c>
      <c r="I37" s="278" t="s">
        <v>376</v>
      </c>
      <c r="J37" s="1206" t="s">
        <v>374</v>
      </c>
      <c r="K37" s="278" t="s">
        <v>376</v>
      </c>
      <c r="L37" s="1206" t="s">
        <v>386</v>
      </c>
      <c r="M37" s="1206" t="s">
        <v>396</v>
      </c>
      <c r="N37" s="1207" t="s">
        <v>385</v>
      </c>
      <c r="O37" s="1207" t="s">
        <v>402</v>
      </c>
      <c r="P37" s="1206" t="s">
        <v>386</v>
      </c>
      <c r="Q37" s="278" t="s">
        <v>376</v>
      </c>
      <c r="R37" s="1206" t="s">
        <v>374</v>
      </c>
    </row>
    <row r="38" spans="1:41" s="87" customFormat="1" ht="17.25" customHeight="1" x14ac:dyDescent="0.25">
      <c r="A38" s="90" t="s">
        <v>41</v>
      </c>
      <c r="B38" s="86"/>
      <c r="C38" s="623"/>
      <c r="D38" s="624"/>
      <c r="E38" s="624"/>
      <c r="F38" s="624"/>
      <c r="G38" s="624"/>
      <c r="H38" s="624"/>
      <c r="I38" s="625"/>
      <c r="J38" s="624"/>
      <c r="K38" s="624"/>
      <c r="L38" s="624"/>
      <c r="M38" s="624"/>
      <c r="N38" s="624"/>
      <c r="O38" s="624"/>
      <c r="P38" s="624"/>
      <c r="Q38" s="624"/>
      <c r="R38" s="632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</row>
    <row r="39" spans="1:41" s="13" customFormat="1" ht="19.899999999999999" customHeight="1" x14ac:dyDescent="0.25">
      <c r="A39" s="91" t="s">
        <v>20</v>
      </c>
      <c r="B39" s="83"/>
      <c r="C39" s="661">
        <v>25</v>
      </c>
      <c r="D39" s="662">
        <v>10</v>
      </c>
      <c r="E39" s="662">
        <v>10</v>
      </c>
      <c r="F39" s="662">
        <v>10</v>
      </c>
      <c r="G39" s="662">
        <v>8</v>
      </c>
      <c r="H39" s="662">
        <v>11</v>
      </c>
      <c r="I39" s="663">
        <v>12</v>
      </c>
      <c r="J39" s="663">
        <v>12</v>
      </c>
      <c r="K39" s="662">
        <v>8</v>
      </c>
      <c r="L39" s="662">
        <v>14</v>
      </c>
      <c r="M39" s="662">
        <v>10</v>
      </c>
      <c r="N39" s="663">
        <v>5</v>
      </c>
      <c r="O39" s="663">
        <v>5</v>
      </c>
      <c r="P39" s="662">
        <v>8</v>
      </c>
      <c r="Q39" s="663">
        <v>25</v>
      </c>
      <c r="R39" s="664">
        <v>12</v>
      </c>
    </row>
    <row r="40" spans="1:41" s="92" customFormat="1" ht="19.899999999999999" customHeight="1" thickBot="1" x14ac:dyDescent="0.3">
      <c r="A40" s="160" t="s">
        <v>21</v>
      </c>
      <c r="B40" s="161"/>
      <c r="C40" s="665">
        <v>23</v>
      </c>
      <c r="D40" s="666">
        <v>10</v>
      </c>
      <c r="E40" s="666">
        <v>9</v>
      </c>
      <c r="F40" s="666">
        <v>12</v>
      </c>
      <c r="G40" s="666">
        <v>5</v>
      </c>
      <c r="H40" s="666">
        <v>10</v>
      </c>
      <c r="I40" s="667">
        <v>11</v>
      </c>
      <c r="J40" s="667">
        <v>11</v>
      </c>
      <c r="K40" s="666">
        <v>5</v>
      </c>
      <c r="L40" s="666">
        <v>14</v>
      </c>
      <c r="M40" s="666">
        <v>10</v>
      </c>
      <c r="N40" s="667">
        <v>5</v>
      </c>
      <c r="O40" s="667">
        <v>5</v>
      </c>
      <c r="P40" s="666">
        <v>5</v>
      </c>
      <c r="Q40" s="667">
        <v>23</v>
      </c>
      <c r="R40" s="668">
        <v>11</v>
      </c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</row>
    <row r="41" spans="1:41" customFormat="1" ht="12" customHeight="1" x14ac:dyDescent="0.25">
      <c r="B41" s="93"/>
      <c r="C41" s="159"/>
      <c r="D41" s="159"/>
      <c r="E41" s="599"/>
      <c r="F41" s="159"/>
      <c r="G41" s="159"/>
      <c r="H41" s="159"/>
      <c r="I41" s="159"/>
      <c r="J41" s="599"/>
      <c r="K41" s="159"/>
      <c r="L41" s="159"/>
      <c r="M41" s="159"/>
      <c r="N41" s="159"/>
      <c r="O41" s="159"/>
      <c r="P41" s="159"/>
      <c r="Q41" s="159"/>
      <c r="R41" s="599"/>
      <c r="S41" s="159"/>
    </row>
    <row r="42" spans="1:41" ht="12.5" x14ac:dyDescent="0.25">
      <c r="C42" s="235"/>
      <c r="D42" s="235"/>
      <c r="E42" s="600"/>
      <c r="L42" s="7"/>
      <c r="M42" s="7"/>
      <c r="N42" s="7"/>
      <c r="O42" s="7"/>
      <c r="S42" s="7"/>
    </row>
    <row r="43" spans="1:41" x14ac:dyDescent="0.3">
      <c r="C43" s="235"/>
      <c r="M43" s="7"/>
      <c r="N43" s="7"/>
      <c r="O43" s="7"/>
      <c r="S43" s="6"/>
    </row>
    <row r="44" spans="1:41" x14ac:dyDescent="0.3">
      <c r="C44" s="235"/>
      <c r="M44" s="7"/>
      <c r="N44" s="7"/>
      <c r="O44" s="7"/>
      <c r="S44" s="6"/>
    </row>
    <row r="45" spans="1:41" x14ac:dyDescent="0.3">
      <c r="M45" s="7"/>
      <c r="N45" s="7"/>
      <c r="O45" s="7"/>
      <c r="S45" s="6"/>
    </row>
    <row r="46" spans="1:41" x14ac:dyDescent="0.3">
      <c r="M46" s="7"/>
      <c r="N46" s="7"/>
      <c r="O46" s="7"/>
      <c r="S46" s="6"/>
    </row>
    <row r="47" spans="1:41" x14ac:dyDescent="0.3">
      <c r="M47" s="7"/>
      <c r="N47" s="7"/>
      <c r="O47" s="7"/>
      <c r="S47" s="6"/>
    </row>
    <row r="48" spans="1:41" x14ac:dyDescent="0.3">
      <c r="M48" s="7"/>
      <c r="N48" s="7"/>
      <c r="O48" s="7"/>
      <c r="S48" s="6"/>
    </row>
    <row r="49" spans="13:19" x14ac:dyDescent="0.3">
      <c r="M49" s="7"/>
      <c r="N49" s="7"/>
      <c r="O49" s="7"/>
      <c r="S49" s="6"/>
    </row>
    <row r="50" spans="13:19" x14ac:dyDescent="0.3">
      <c r="M50" s="7"/>
      <c r="N50" s="7"/>
      <c r="O50" s="7"/>
      <c r="S50" s="6"/>
    </row>
    <row r="51" spans="13:19" x14ac:dyDescent="0.3">
      <c r="M51" s="7"/>
      <c r="N51" s="7"/>
      <c r="O51" s="7"/>
      <c r="S51" s="6"/>
    </row>
    <row r="52" spans="13:19" x14ac:dyDescent="0.3">
      <c r="M52" s="7"/>
      <c r="N52" s="7"/>
      <c r="O52" s="7"/>
      <c r="S52" s="6"/>
    </row>
    <row r="53" spans="13:19" x14ac:dyDescent="0.3">
      <c r="M53" s="7"/>
      <c r="N53" s="7"/>
      <c r="O53" s="7"/>
      <c r="S53" s="6"/>
    </row>
    <row r="54" spans="13:19" x14ac:dyDescent="0.3">
      <c r="M54" s="7"/>
      <c r="N54" s="7"/>
      <c r="O54" s="7"/>
      <c r="S54" s="6"/>
    </row>
    <row r="55" spans="13:19" x14ac:dyDescent="0.3">
      <c r="M55" s="7"/>
      <c r="N55" s="7"/>
      <c r="O55" s="7"/>
      <c r="S55" s="6"/>
    </row>
    <row r="56" spans="13:19" x14ac:dyDescent="0.3">
      <c r="M56" s="7"/>
      <c r="N56" s="7"/>
      <c r="O56" s="7"/>
      <c r="S56" s="6"/>
    </row>
    <row r="57" spans="13:19" x14ac:dyDescent="0.3">
      <c r="M57" s="7"/>
      <c r="N57" s="7"/>
      <c r="O57" s="7"/>
      <c r="S57" s="6"/>
    </row>
    <row r="58" spans="13:19" x14ac:dyDescent="0.3">
      <c r="M58" s="7"/>
      <c r="N58" s="7"/>
      <c r="O58" s="7"/>
      <c r="S58" s="6"/>
    </row>
    <row r="59" spans="13:19" x14ac:dyDescent="0.3">
      <c r="M59" s="7"/>
      <c r="N59" s="7"/>
      <c r="O59" s="7"/>
      <c r="S59" s="6"/>
    </row>
    <row r="60" spans="13:19" x14ac:dyDescent="0.3">
      <c r="M60" s="7"/>
      <c r="N60" s="7"/>
      <c r="O60" s="7"/>
      <c r="S60" s="6"/>
    </row>
    <row r="61" spans="13:19" x14ac:dyDescent="0.3">
      <c r="M61" s="7"/>
      <c r="N61" s="7"/>
      <c r="O61" s="7"/>
      <c r="S61" s="6"/>
    </row>
    <row r="62" spans="13:19" x14ac:dyDescent="0.3">
      <c r="M62" s="7"/>
      <c r="N62" s="7"/>
      <c r="O62" s="7"/>
      <c r="S62" s="6"/>
    </row>
    <row r="63" spans="13:19" x14ac:dyDescent="0.3">
      <c r="M63" s="7"/>
      <c r="N63" s="7"/>
      <c r="O63" s="7"/>
      <c r="S63" s="6"/>
    </row>
    <row r="64" spans="13:19" x14ac:dyDescent="0.3">
      <c r="M64" s="7"/>
      <c r="N64" s="7"/>
      <c r="O64" s="7"/>
      <c r="S64" s="6"/>
    </row>
    <row r="65" spans="13:19" x14ac:dyDescent="0.3">
      <c r="M65" s="7"/>
      <c r="N65" s="7"/>
      <c r="O65" s="7"/>
      <c r="S65" s="6"/>
    </row>
    <row r="66" spans="13:19" x14ac:dyDescent="0.3">
      <c r="M66" s="7"/>
      <c r="N66" s="7"/>
      <c r="O66" s="7"/>
      <c r="S66" s="6"/>
    </row>
    <row r="67" spans="13:19" x14ac:dyDescent="0.3">
      <c r="M67" s="7"/>
      <c r="N67" s="7"/>
      <c r="O67" s="7"/>
      <c r="S67" s="6"/>
    </row>
    <row r="68" spans="13:19" x14ac:dyDescent="0.3">
      <c r="M68" s="7"/>
      <c r="N68" s="7"/>
      <c r="O68" s="7"/>
      <c r="S68" s="6"/>
    </row>
    <row r="69" spans="13:19" x14ac:dyDescent="0.3">
      <c r="M69" s="7"/>
      <c r="N69" s="7"/>
      <c r="O69" s="7"/>
      <c r="S69" s="6"/>
    </row>
    <row r="70" spans="13:19" x14ac:dyDescent="0.3">
      <c r="M70" s="7"/>
      <c r="N70" s="7"/>
      <c r="O70" s="7"/>
      <c r="S70" s="6"/>
    </row>
    <row r="71" spans="13:19" x14ac:dyDescent="0.3">
      <c r="M71" s="7"/>
      <c r="N71" s="7"/>
      <c r="O71" s="7"/>
      <c r="S71" s="6"/>
    </row>
    <row r="72" spans="13:19" x14ac:dyDescent="0.3">
      <c r="M72" s="7"/>
      <c r="N72" s="7"/>
      <c r="O72" s="7"/>
      <c r="S72" s="6"/>
    </row>
    <row r="73" spans="13:19" x14ac:dyDescent="0.3">
      <c r="M73" s="7"/>
      <c r="N73" s="7"/>
      <c r="O73" s="7"/>
      <c r="S73" s="6"/>
    </row>
    <row r="74" spans="13:19" x14ac:dyDescent="0.3">
      <c r="M74" s="7"/>
      <c r="N74" s="7"/>
      <c r="O74" s="7"/>
      <c r="S74" s="6"/>
    </row>
    <row r="75" spans="13:19" x14ac:dyDescent="0.3">
      <c r="M75" s="7"/>
      <c r="N75" s="7"/>
      <c r="O75" s="7"/>
      <c r="S75" s="6"/>
    </row>
    <row r="76" spans="13:19" x14ac:dyDescent="0.3">
      <c r="M76" s="7"/>
      <c r="N76" s="7"/>
      <c r="O76" s="7"/>
      <c r="S76" s="6"/>
    </row>
    <row r="77" spans="13:19" x14ac:dyDescent="0.3">
      <c r="M77" s="7"/>
      <c r="N77" s="7"/>
      <c r="O77" s="7"/>
      <c r="S77" s="6"/>
    </row>
    <row r="78" spans="13:19" x14ac:dyDescent="0.3">
      <c r="M78" s="7"/>
      <c r="N78" s="7"/>
      <c r="O78" s="7"/>
      <c r="S78" s="6"/>
    </row>
    <row r="79" spans="13:19" x14ac:dyDescent="0.3">
      <c r="M79" s="7"/>
      <c r="N79" s="7"/>
      <c r="O79" s="7"/>
      <c r="S79" s="6"/>
    </row>
    <row r="80" spans="13:19" x14ac:dyDescent="0.3">
      <c r="M80" s="7"/>
      <c r="N80" s="7"/>
      <c r="O80" s="7"/>
      <c r="S80" s="6"/>
    </row>
    <row r="81" spans="13:19" x14ac:dyDescent="0.3">
      <c r="M81" s="7"/>
      <c r="N81" s="7"/>
      <c r="O81" s="7"/>
      <c r="S81" s="6"/>
    </row>
    <row r="82" spans="13:19" x14ac:dyDescent="0.3">
      <c r="M82" s="7"/>
      <c r="N82" s="7"/>
      <c r="O82" s="7"/>
      <c r="S82" s="6"/>
    </row>
    <row r="83" spans="13:19" x14ac:dyDescent="0.3">
      <c r="M83" s="7"/>
      <c r="N83" s="7"/>
      <c r="O83" s="7"/>
      <c r="S83" s="6"/>
    </row>
    <row r="84" spans="13:19" x14ac:dyDescent="0.3">
      <c r="S84" s="6"/>
    </row>
    <row r="85" spans="13:19" x14ac:dyDescent="0.3">
      <c r="S85" s="6"/>
    </row>
    <row r="86" spans="13:19" x14ac:dyDescent="0.3">
      <c r="S86" s="6"/>
    </row>
    <row r="87" spans="13:19" x14ac:dyDescent="0.3">
      <c r="S87" s="6"/>
    </row>
    <row r="88" spans="13:19" x14ac:dyDescent="0.3">
      <c r="S88" s="6"/>
    </row>
    <row r="89" spans="13:19" x14ac:dyDescent="0.3">
      <c r="S89" s="6"/>
    </row>
    <row r="90" spans="13:19" x14ac:dyDescent="0.3">
      <c r="S90" s="6"/>
    </row>
    <row r="91" spans="13:19" x14ac:dyDescent="0.3">
      <c r="S91" s="6"/>
    </row>
    <row r="92" spans="13:19" x14ac:dyDescent="0.3">
      <c r="S92" s="6"/>
    </row>
    <row r="93" spans="13:19" x14ac:dyDescent="0.3">
      <c r="S93" s="6"/>
    </row>
    <row r="94" spans="13:19" x14ac:dyDescent="0.3">
      <c r="S94" s="6"/>
    </row>
    <row r="95" spans="13:19" x14ac:dyDescent="0.3">
      <c r="S95" s="6"/>
    </row>
    <row r="96" spans="13:19" x14ac:dyDescent="0.3">
      <c r="S96" s="6"/>
    </row>
    <row r="97" spans="19:19" x14ac:dyDescent="0.3">
      <c r="S97" s="6"/>
    </row>
    <row r="98" spans="19:19" x14ac:dyDescent="0.3">
      <c r="S98" s="6"/>
    </row>
    <row r="99" spans="19:19" x14ac:dyDescent="0.3">
      <c r="S99" s="6"/>
    </row>
    <row r="100" spans="19:19" x14ac:dyDescent="0.3">
      <c r="S100" s="6"/>
    </row>
    <row r="101" spans="19:19" x14ac:dyDescent="0.3">
      <c r="S101" s="6"/>
    </row>
    <row r="102" spans="19:19" x14ac:dyDescent="0.3">
      <c r="S102" s="6"/>
    </row>
    <row r="103" spans="19:19" x14ac:dyDescent="0.3">
      <c r="S103" s="6"/>
    </row>
    <row r="104" spans="19:19" x14ac:dyDescent="0.3">
      <c r="S104" s="6"/>
    </row>
    <row r="105" spans="19:19" x14ac:dyDescent="0.3">
      <c r="S105" s="6"/>
    </row>
    <row r="106" spans="19:19" x14ac:dyDescent="0.3">
      <c r="S106" s="6"/>
    </row>
    <row r="107" spans="19:19" x14ac:dyDescent="0.3">
      <c r="S107" s="6"/>
    </row>
    <row r="108" spans="19:19" x14ac:dyDescent="0.3">
      <c r="S108" s="6"/>
    </row>
    <row r="109" spans="19:19" x14ac:dyDescent="0.3">
      <c r="S109" s="6"/>
    </row>
    <row r="110" spans="19:19" x14ac:dyDescent="0.3">
      <c r="S110" s="6"/>
    </row>
    <row r="111" spans="19:19" x14ac:dyDescent="0.3">
      <c r="S111" s="6"/>
    </row>
    <row r="112" spans="19:19" x14ac:dyDescent="0.3">
      <c r="S112" s="6"/>
    </row>
    <row r="113" spans="19:19" x14ac:dyDescent="0.3">
      <c r="S113" s="6"/>
    </row>
    <row r="114" spans="19:19" x14ac:dyDescent="0.3">
      <c r="S114" s="6"/>
    </row>
    <row r="115" spans="19:19" x14ac:dyDescent="0.3">
      <c r="S115" s="6"/>
    </row>
    <row r="116" spans="19:19" x14ac:dyDescent="0.3">
      <c r="S116" s="6"/>
    </row>
    <row r="117" spans="19:19" x14ac:dyDescent="0.3">
      <c r="S117" s="6"/>
    </row>
    <row r="118" spans="19:19" x14ac:dyDescent="0.3">
      <c r="S118" s="6"/>
    </row>
    <row r="119" spans="19:19" x14ac:dyDescent="0.3">
      <c r="S119" s="6"/>
    </row>
    <row r="120" spans="19:19" x14ac:dyDescent="0.3">
      <c r="S120" s="6"/>
    </row>
    <row r="121" spans="19:19" x14ac:dyDescent="0.3">
      <c r="S121" s="6"/>
    </row>
    <row r="122" spans="19:19" x14ac:dyDescent="0.3">
      <c r="S122" s="6"/>
    </row>
    <row r="123" spans="19:19" x14ac:dyDescent="0.3">
      <c r="S123" s="6"/>
    </row>
    <row r="124" spans="19:19" x14ac:dyDescent="0.3">
      <c r="S124" s="6"/>
    </row>
    <row r="125" spans="19:19" x14ac:dyDescent="0.3">
      <c r="S125" s="6"/>
    </row>
    <row r="126" spans="19:19" x14ac:dyDescent="0.3">
      <c r="S126" s="6"/>
    </row>
    <row r="127" spans="19:19" x14ac:dyDescent="0.3">
      <c r="S127" s="6"/>
    </row>
    <row r="128" spans="19:19" x14ac:dyDescent="0.3">
      <c r="S128" s="6"/>
    </row>
    <row r="129" spans="19:19" x14ac:dyDescent="0.3">
      <c r="S129" s="6"/>
    </row>
    <row r="130" spans="19:19" x14ac:dyDescent="0.3">
      <c r="S130" s="6"/>
    </row>
    <row r="131" spans="19:19" x14ac:dyDescent="0.3">
      <c r="S131" s="6"/>
    </row>
    <row r="132" spans="19:19" x14ac:dyDescent="0.3">
      <c r="S132" s="6"/>
    </row>
    <row r="133" spans="19:19" x14ac:dyDescent="0.3">
      <c r="S133" s="6"/>
    </row>
    <row r="134" spans="19:19" x14ac:dyDescent="0.3">
      <c r="S134" s="6"/>
    </row>
    <row r="135" spans="19:19" x14ac:dyDescent="0.3">
      <c r="S135" s="6"/>
    </row>
    <row r="136" spans="19:19" x14ac:dyDescent="0.3">
      <c r="S136" s="6"/>
    </row>
    <row r="137" spans="19:19" x14ac:dyDescent="0.3">
      <c r="S137" s="6"/>
    </row>
    <row r="138" spans="19:19" x14ac:dyDescent="0.3">
      <c r="S138" s="6"/>
    </row>
    <row r="139" spans="19:19" x14ac:dyDescent="0.3">
      <c r="S139" s="6"/>
    </row>
    <row r="140" spans="19:19" x14ac:dyDescent="0.3">
      <c r="S140" s="6"/>
    </row>
    <row r="141" spans="19:19" x14ac:dyDescent="0.3">
      <c r="S141" s="6"/>
    </row>
    <row r="142" spans="19:19" x14ac:dyDescent="0.3">
      <c r="S142" s="6"/>
    </row>
    <row r="143" spans="19:19" x14ac:dyDescent="0.3">
      <c r="S143" s="6"/>
    </row>
    <row r="144" spans="19:19" x14ac:dyDescent="0.3">
      <c r="S144" s="6"/>
    </row>
    <row r="145" spans="19:19" x14ac:dyDescent="0.3">
      <c r="S145" s="6"/>
    </row>
    <row r="146" spans="19:19" x14ac:dyDescent="0.3">
      <c r="S146" s="6"/>
    </row>
    <row r="147" spans="19:19" x14ac:dyDescent="0.3">
      <c r="S147" s="6"/>
    </row>
    <row r="148" spans="19:19" x14ac:dyDescent="0.3">
      <c r="S148" s="6"/>
    </row>
    <row r="149" spans="19:19" x14ac:dyDescent="0.3">
      <c r="S149" s="6"/>
    </row>
    <row r="150" spans="19:19" x14ac:dyDescent="0.3">
      <c r="S150" s="6"/>
    </row>
    <row r="151" spans="19:19" x14ac:dyDescent="0.3">
      <c r="S151" s="6"/>
    </row>
    <row r="152" spans="19:19" x14ac:dyDescent="0.3">
      <c r="S152" s="6"/>
    </row>
    <row r="153" spans="19:19" x14ac:dyDescent="0.3">
      <c r="S153" s="6"/>
    </row>
    <row r="154" spans="19:19" x14ac:dyDescent="0.3">
      <c r="S154" s="6"/>
    </row>
    <row r="155" spans="19:19" x14ac:dyDescent="0.3">
      <c r="S155" s="6"/>
    </row>
    <row r="156" spans="19:19" x14ac:dyDescent="0.3">
      <c r="S156" s="6"/>
    </row>
    <row r="157" spans="19:19" x14ac:dyDescent="0.3">
      <c r="S157" s="6"/>
    </row>
    <row r="158" spans="19:19" x14ac:dyDescent="0.3">
      <c r="S158" s="6"/>
    </row>
    <row r="159" spans="19:19" x14ac:dyDescent="0.3">
      <c r="S159" s="6"/>
    </row>
    <row r="160" spans="19:19" x14ac:dyDescent="0.3">
      <c r="S160" s="6"/>
    </row>
    <row r="161" spans="19:19" x14ac:dyDescent="0.3">
      <c r="S161" s="6"/>
    </row>
    <row r="162" spans="19:19" x14ac:dyDescent="0.3">
      <c r="S162" s="6"/>
    </row>
    <row r="163" spans="19:19" x14ac:dyDescent="0.3">
      <c r="S163" s="6"/>
    </row>
    <row r="164" spans="19:19" x14ac:dyDescent="0.3">
      <c r="S164" s="6"/>
    </row>
    <row r="165" spans="19:19" x14ac:dyDescent="0.3">
      <c r="S165" s="6"/>
    </row>
    <row r="166" spans="19:19" x14ac:dyDescent="0.3">
      <c r="S166" s="6"/>
    </row>
    <row r="167" spans="19:19" x14ac:dyDescent="0.3">
      <c r="S167" s="6"/>
    </row>
    <row r="168" spans="19:19" x14ac:dyDescent="0.3">
      <c r="S168" s="6"/>
    </row>
    <row r="169" spans="19:19" x14ac:dyDescent="0.3">
      <c r="S169" s="6"/>
    </row>
    <row r="170" spans="19:19" x14ac:dyDescent="0.3">
      <c r="S170" s="6"/>
    </row>
    <row r="171" spans="19:19" x14ac:dyDescent="0.3">
      <c r="S171" s="6"/>
    </row>
    <row r="172" spans="19:19" x14ac:dyDescent="0.3">
      <c r="S172" s="6"/>
    </row>
    <row r="173" spans="19:19" x14ac:dyDescent="0.3">
      <c r="S173" s="6"/>
    </row>
    <row r="174" spans="19:19" x14ac:dyDescent="0.3">
      <c r="S174" s="6"/>
    </row>
    <row r="175" spans="19:19" x14ac:dyDescent="0.3">
      <c r="S175" s="6"/>
    </row>
    <row r="176" spans="19:19" x14ac:dyDescent="0.3">
      <c r="S176" s="6"/>
    </row>
    <row r="177" spans="19:19" x14ac:dyDescent="0.3">
      <c r="S177" s="6"/>
    </row>
    <row r="178" spans="19:19" x14ac:dyDescent="0.3">
      <c r="S178" s="6"/>
    </row>
    <row r="179" spans="19:19" x14ac:dyDescent="0.3">
      <c r="S179" s="6"/>
    </row>
    <row r="180" spans="19:19" x14ac:dyDescent="0.3">
      <c r="S180" s="6"/>
    </row>
    <row r="181" spans="19:19" x14ac:dyDescent="0.3">
      <c r="S181" s="6"/>
    </row>
    <row r="182" spans="19:19" x14ac:dyDescent="0.3">
      <c r="S182" s="6"/>
    </row>
    <row r="183" spans="19:19" x14ac:dyDescent="0.3">
      <c r="S183" s="6"/>
    </row>
    <row r="184" spans="19:19" x14ac:dyDescent="0.3">
      <c r="S184" s="6"/>
    </row>
    <row r="185" spans="19:19" x14ac:dyDescent="0.3">
      <c r="S185" s="6"/>
    </row>
    <row r="186" spans="19:19" x14ac:dyDescent="0.3">
      <c r="S186" s="6"/>
    </row>
    <row r="187" spans="19:19" x14ac:dyDescent="0.3">
      <c r="S187" s="6"/>
    </row>
    <row r="188" spans="19:19" x14ac:dyDescent="0.3">
      <c r="S188" s="6"/>
    </row>
    <row r="189" spans="19:19" x14ac:dyDescent="0.3">
      <c r="S189" s="6"/>
    </row>
    <row r="190" spans="19:19" x14ac:dyDescent="0.3">
      <c r="S190" s="6"/>
    </row>
    <row r="191" spans="19:19" x14ac:dyDescent="0.3">
      <c r="S191" s="6"/>
    </row>
    <row r="192" spans="19:19" x14ac:dyDescent="0.3">
      <c r="S192" s="6"/>
    </row>
    <row r="193" spans="19:19" x14ac:dyDescent="0.3">
      <c r="S193" s="6"/>
    </row>
    <row r="194" spans="19:19" x14ac:dyDescent="0.3">
      <c r="S194" s="6"/>
    </row>
    <row r="195" spans="19:19" x14ac:dyDescent="0.3">
      <c r="S195" s="6"/>
    </row>
    <row r="196" spans="19:19" x14ac:dyDescent="0.3">
      <c r="S196" s="6"/>
    </row>
    <row r="197" spans="19:19" x14ac:dyDescent="0.3">
      <c r="S197" s="6"/>
    </row>
    <row r="198" spans="19:19" x14ac:dyDescent="0.3">
      <c r="S198" s="6"/>
    </row>
    <row r="199" spans="19:19" x14ac:dyDescent="0.3">
      <c r="S199" s="6"/>
    </row>
    <row r="200" spans="19:19" x14ac:dyDescent="0.3">
      <c r="S200" s="6"/>
    </row>
    <row r="201" spans="19:19" x14ac:dyDescent="0.3">
      <c r="S201" s="6"/>
    </row>
    <row r="202" spans="19:19" x14ac:dyDescent="0.3">
      <c r="S202" s="6"/>
    </row>
    <row r="203" spans="19:19" x14ac:dyDescent="0.3">
      <c r="S203" s="6"/>
    </row>
    <row r="204" spans="19:19" x14ac:dyDescent="0.3">
      <c r="S204" s="6"/>
    </row>
    <row r="205" spans="19:19" x14ac:dyDescent="0.3">
      <c r="S205" s="6"/>
    </row>
    <row r="206" spans="19:19" x14ac:dyDescent="0.3">
      <c r="S206" s="6"/>
    </row>
    <row r="207" spans="19:19" x14ac:dyDescent="0.3">
      <c r="S207" s="6"/>
    </row>
    <row r="208" spans="19:19" x14ac:dyDescent="0.3">
      <c r="S208" s="6"/>
    </row>
    <row r="209" spans="19:19" x14ac:dyDescent="0.3">
      <c r="S209" s="6"/>
    </row>
    <row r="210" spans="19:19" x14ac:dyDescent="0.3">
      <c r="S210" s="6"/>
    </row>
    <row r="211" spans="19:19" x14ac:dyDescent="0.3">
      <c r="S211" s="6"/>
    </row>
    <row r="212" spans="19:19" x14ac:dyDescent="0.3">
      <c r="S212" s="6"/>
    </row>
    <row r="213" spans="19:19" x14ac:dyDescent="0.3">
      <c r="S213" s="6"/>
    </row>
    <row r="214" spans="19:19" x14ac:dyDescent="0.3">
      <c r="S214" s="6"/>
    </row>
    <row r="215" spans="19:19" x14ac:dyDescent="0.3">
      <c r="S215" s="6"/>
    </row>
    <row r="216" spans="19:19" x14ac:dyDescent="0.3">
      <c r="S216" s="6"/>
    </row>
    <row r="217" spans="19:19" x14ac:dyDescent="0.3">
      <c r="S217" s="6"/>
    </row>
    <row r="218" spans="19:19" x14ac:dyDescent="0.3">
      <c r="S218" s="6"/>
    </row>
    <row r="219" spans="19:19" x14ac:dyDescent="0.3">
      <c r="S219" s="6"/>
    </row>
    <row r="220" spans="19:19" x14ac:dyDescent="0.3">
      <c r="S220" s="6"/>
    </row>
    <row r="221" spans="19:19" x14ac:dyDescent="0.3">
      <c r="S221" s="6"/>
    </row>
    <row r="222" spans="19:19" x14ac:dyDescent="0.3">
      <c r="S222" s="6"/>
    </row>
    <row r="223" spans="19:19" x14ac:dyDescent="0.3">
      <c r="S223" s="6"/>
    </row>
    <row r="224" spans="19:19" x14ac:dyDescent="0.3">
      <c r="S224" s="6"/>
    </row>
    <row r="225" spans="19:19" x14ac:dyDescent="0.3">
      <c r="S225" s="6"/>
    </row>
    <row r="226" spans="19:19" x14ac:dyDescent="0.3">
      <c r="S226" s="6"/>
    </row>
    <row r="227" spans="19:19" x14ac:dyDescent="0.3">
      <c r="S227" s="6"/>
    </row>
    <row r="228" spans="19:19" x14ac:dyDescent="0.3">
      <c r="S228" s="6"/>
    </row>
    <row r="229" spans="19:19" x14ac:dyDescent="0.3">
      <c r="S229" s="6"/>
    </row>
    <row r="230" spans="19:19" x14ac:dyDescent="0.3">
      <c r="S230" s="6"/>
    </row>
    <row r="231" spans="19:19" x14ac:dyDescent="0.3">
      <c r="S231" s="6"/>
    </row>
    <row r="232" spans="19:19" x14ac:dyDescent="0.3">
      <c r="S232" s="6"/>
    </row>
    <row r="233" spans="19:19" x14ac:dyDescent="0.3">
      <c r="S233" s="6"/>
    </row>
    <row r="234" spans="19:19" x14ac:dyDescent="0.3">
      <c r="S234" s="6"/>
    </row>
    <row r="235" spans="19:19" x14ac:dyDescent="0.3">
      <c r="S235" s="6"/>
    </row>
    <row r="236" spans="19:19" x14ac:dyDescent="0.3">
      <c r="S236" s="6"/>
    </row>
    <row r="237" spans="19:19" x14ac:dyDescent="0.3">
      <c r="S237" s="6"/>
    </row>
    <row r="238" spans="19:19" x14ac:dyDescent="0.3">
      <c r="S238" s="6"/>
    </row>
    <row r="239" spans="19:19" x14ac:dyDescent="0.3">
      <c r="S239" s="6"/>
    </row>
    <row r="240" spans="19:19" x14ac:dyDescent="0.3">
      <c r="S240" s="6"/>
    </row>
    <row r="241" spans="19:19" x14ac:dyDescent="0.3">
      <c r="S241" s="6"/>
    </row>
    <row r="242" spans="19:19" x14ac:dyDescent="0.3">
      <c r="S242" s="6"/>
    </row>
    <row r="243" spans="19:19" x14ac:dyDescent="0.3">
      <c r="S243" s="6"/>
    </row>
    <row r="244" spans="19:19" x14ac:dyDescent="0.3">
      <c r="S244" s="6"/>
    </row>
    <row r="245" spans="19:19" x14ac:dyDescent="0.3">
      <c r="S245" s="6"/>
    </row>
    <row r="246" spans="19:19" x14ac:dyDescent="0.3">
      <c r="S246" s="6"/>
    </row>
    <row r="247" spans="19:19" x14ac:dyDescent="0.3">
      <c r="S247" s="6"/>
    </row>
    <row r="248" spans="19:19" x14ac:dyDescent="0.3">
      <c r="S248" s="6"/>
    </row>
    <row r="249" spans="19:19" x14ac:dyDescent="0.3">
      <c r="S249" s="6"/>
    </row>
    <row r="250" spans="19:19" x14ac:dyDescent="0.3">
      <c r="S250" s="6"/>
    </row>
    <row r="251" spans="19:19" x14ac:dyDescent="0.3">
      <c r="S251" s="6"/>
    </row>
    <row r="252" spans="19:19" x14ac:dyDescent="0.3">
      <c r="S252" s="6"/>
    </row>
    <row r="253" spans="19:19" x14ac:dyDescent="0.3">
      <c r="S253" s="6"/>
    </row>
    <row r="254" spans="19:19" x14ac:dyDescent="0.3">
      <c r="S254" s="6"/>
    </row>
    <row r="255" spans="19:19" x14ac:dyDescent="0.3">
      <c r="S255" s="6"/>
    </row>
    <row r="256" spans="19:19" x14ac:dyDescent="0.3">
      <c r="S256" s="6"/>
    </row>
    <row r="257" spans="19:19" x14ac:dyDescent="0.3">
      <c r="S257" s="6"/>
    </row>
    <row r="258" spans="19:19" x14ac:dyDescent="0.3">
      <c r="S258" s="6"/>
    </row>
    <row r="259" spans="19:19" x14ac:dyDescent="0.3">
      <c r="S259" s="6"/>
    </row>
    <row r="260" spans="19:19" x14ac:dyDescent="0.3">
      <c r="S260" s="6"/>
    </row>
    <row r="261" spans="19:19" x14ac:dyDescent="0.3">
      <c r="S261" s="6"/>
    </row>
    <row r="262" spans="19:19" x14ac:dyDescent="0.3">
      <c r="S262" s="6"/>
    </row>
    <row r="263" spans="19:19" x14ac:dyDescent="0.3">
      <c r="S263" s="6"/>
    </row>
    <row r="264" spans="19:19" x14ac:dyDescent="0.3">
      <c r="S264" s="6"/>
    </row>
    <row r="265" spans="19:19" x14ac:dyDescent="0.3">
      <c r="S265" s="6"/>
    </row>
    <row r="266" spans="19:19" x14ac:dyDescent="0.3">
      <c r="S266" s="6"/>
    </row>
    <row r="267" spans="19:19" x14ac:dyDescent="0.3">
      <c r="S267" s="6"/>
    </row>
    <row r="268" spans="19:19" x14ac:dyDescent="0.3">
      <c r="S268" s="6"/>
    </row>
    <row r="269" spans="19:19" x14ac:dyDescent="0.3">
      <c r="S269" s="6"/>
    </row>
    <row r="270" spans="19:19" x14ac:dyDescent="0.3">
      <c r="S270" s="6"/>
    </row>
    <row r="271" spans="19:19" x14ac:dyDescent="0.3">
      <c r="S271" s="6"/>
    </row>
    <row r="272" spans="19:19" x14ac:dyDescent="0.3">
      <c r="S272" s="6"/>
    </row>
    <row r="273" spans="19:19" x14ac:dyDescent="0.3">
      <c r="S273" s="6"/>
    </row>
    <row r="274" spans="19:19" x14ac:dyDescent="0.3">
      <c r="S274" s="6"/>
    </row>
    <row r="275" spans="19:19" x14ac:dyDescent="0.3">
      <c r="S275" s="6"/>
    </row>
    <row r="276" spans="19:19" x14ac:dyDescent="0.3">
      <c r="S276" s="6"/>
    </row>
    <row r="277" spans="19:19" x14ac:dyDescent="0.3">
      <c r="S277" s="6"/>
    </row>
    <row r="278" spans="19:19" x14ac:dyDescent="0.3">
      <c r="S278" s="6"/>
    </row>
    <row r="279" spans="19:19" x14ac:dyDescent="0.3">
      <c r="S279" s="6"/>
    </row>
    <row r="280" spans="19:19" x14ac:dyDescent="0.3">
      <c r="S280" s="6"/>
    </row>
    <row r="281" spans="19:19" x14ac:dyDescent="0.3">
      <c r="S281" s="6"/>
    </row>
    <row r="282" spans="19:19" x14ac:dyDescent="0.3">
      <c r="S282" s="6"/>
    </row>
    <row r="283" spans="19:19" x14ac:dyDescent="0.3">
      <c r="S283" s="6"/>
    </row>
    <row r="284" spans="19:19" x14ac:dyDescent="0.3">
      <c r="S284" s="6"/>
    </row>
    <row r="285" spans="19:19" x14ac:dyDescent="0.3">
      <c r="S285" s="6"/>
    </row>
    <row r="286" spans="19:19" x14ac:dyDescent="0.3">
      <c r="S286" s="6"/>
    </row>
    <row r="287" spans="19:19" x14ac:dyDescent="0.3">
      <c r="S287" s="6"/>
    </row>
    <row r="288" spans="19:19" x14ac:dyDescent="0.3">
      <c r="S288" s="6"/>
    </row>
    <row r="289" spans="19:19" x14ac:dyDescent="0.3">
      <c r="S289" s="6"/>
    </row>
    <row r="290" spans="19:19" x14ac:dyDescent="0.3">
      <c r="S290" s="6"/>
    </row>
    <row r="291" spans="19:19" x14ac:dyDescent="0.3">
      <c r="S291" s="6"/>
    </row>
    <row r="292" spans="19:19" x14ac:dyDescent="0.3">
      <c r="S292" s="6"/>
    </row>
    <row r="293" spans="19:19" x14ac:dyDescent="0.3">
      <c r="S293" s="6"/>
    </row>
    <row r="294" spans="19:19" x14ac:dyDescent="0.3">
      <c r="S294" s="6"/>
    </row>
    <row r="295" spans="19:19" x14ac:dyDescent="0.3">
      <c r="S295" s="6"/>
    </row>
    <row r="296" spans="19:19" x14ac:dyDescent="0.3">
      <c r="S296" s="6"/>
    </row>
    <row r="297" spans="19:19" x14ac:dyDescent="0.3">
      <c r="S297" s="6"/>
    </row>
    <row r="298" spans="19:19" x14ac:dyDescent="0.3">
      <c r="S298" s="6"/>
    </row>
    <row r="299" spans="19:19" x14ac:dyDescent="0.3">
      <c r="S299" s="6"/>
    </row>
    <row r="300" spans="19:19" x14ac:dyDescent="0.3">
      <c r="S300" s="6"/>
    </row>
    <row r="301" spans="19:19" x14ac:dyDescent="0.3">
      <c r="S301" s="6"/>
    </row>
    <row r="302" spans="19:19" x14ac:dyDescent="0.3">
      <c r="S302" s="6"/>
    </row>
    <row r="303" spans="19:19" x14ac:dyDescent="0.3">
      <c r="S303" s="6"/>
    </row>
    <row r="304" spans="19:19" x14ac:dyDescent="0.3">
      <c r="S304" s="6"/>
    </row>
    <row r="305" spans="19:19" x14ac:dyDescent="0.3">
      <c r="S305" s="6"/>
    </row>
    <row r="306" spans="19:19" x14ac:dyDescent="0.3">
      <c r="S306" s="6"/>
    </row>
    <row r="307" spans="19:19" x14ac:dyDescent="0.3">
      <c r="S307" s="6"/>
    </row>
    <row r="308" spans="19:19" x14ac:dyDescent="0.3">
      <c r="S308" s="6"/>
    </row>
    <row r="309" spans="19:19" x14ac:dyDescent="0.3">
      <c r="S309" s="6"/>
    </row>
    <row r="310" spans="19:19" x14ac:dyDescent="0.3">
      <c r="S310" s="6"/>
    </row>
    <row r="311" spans="19:19" x14ac:dyDescent="0.3">
      <c r="S311" s="6"/>
    </row>
    <row r="312" spans="19:19" x14ac:dyDescent="0.3">
      <c r="S312" s="6"/>
    </row>
    <row r="313" spans="19:19" x14ac:dyDescent="0.3">
      <c r="S313" s="6"/>
    </row>
    <row r="314" spans="19:19" x14ac:dyDescent="0.3">
      <c r="S314" s="6"/>
    </row>
    <row r="315" spans="19:19" x14ac:dyDescent="0.3">
      <c r="S315" s="6"/>
    </row>
    <row r="316" spans="19:19" x14ac:dyDescent="0.3">
      <c r="S316" s="6"/>
    </row>
    <row r="317" spans="19:19" x14ac:dyDescent="0.3">
      <c r="S317" s="6"/>
    </row>
    <row r="318" spans="19:19" x14ac:dyDescent="0.3">
      <c r="S318" s="6"/>
    </row>
    <row r="319" spans="19:19" x14ac:dyDescent="0.3">
      <c r="S319" s="6"/>
    </row>
    <row r="320" spans="19:19" x14ac:dyDescent="0.3">
      <c r="S320" s="6"/>
    </row>
    <row r="321" spans="19:19" x14ac:dyDescent="0.3">
      <c r="S321" s="6"/>
    </row>
    <row r="322" spans="19:19" x14ac:dyDescent="0.3">
      <c r="S322" s="6"/>
    </row>
    <row r="323" spans="19:19" x14ac:dyDescent="0.3">
      <c r="S323" s="6"/>
    </row>
    <row r="324" spans="19:19" x14ac:dyDescent="0.3">
      <c r="S324" s="6"/>
    </row>
    <row r="325" spans="19:19" x14ac:dyDescent="0.3">
      <c r="S325" s="6"/>
    </row>
    <row r="326" spans="19:19" x14ac:dyDescent="0.3">
      <c r="S326" s="6"/>
    </row>
    <row r="327" spans="19:19" x14ac:dyDescent="0.3">
      <c r="S327" s="6"/>
    </row>
    <row r="328" spans="19:19" x14ac:dyDescent="0.3">
      <c r="S328" s="6"/>
    </row>
    <row r="329" spans="19:19" x14ac:dyDescent="0.3">
      <c r="S329" s="6"/>
    </row>
    <row r="330" spans="19:19" x14ac:dyDescent="0.3">
      <c r="S330" s="6"/>
    </row>
    <row r="331" spans="19:19" x14ac:dyDescent="0.3">
      <c r="S331" s="6"/>
    </row>
    <row r="332" spans="19:19" x14ac:dyDescent="0.3">
      <c r="S332" s="6"/>
    </row>
    <row r="333" spans="19:19" x14ac:dyDescent="0.3">
      <c r="S333" s="6"/>
    </row>
    <row r="334" spans="19:19" x14ac:dyDescent="0.3">
      <c r="S334" s="6"/>
    </row>
    <row r="335" spans="19:19" x14ac:dyDescent="0.3">
      <c r="S335" s="6"/>
    </row>
    <row r="336" spans="19:19" x14ac:dyDescent="0.3">
      <c r="S336" s="6"/>
    </row>
    <row r="337" spans="19:19" x14ac:dyDescent="0.3">
      <c r="S337" s="6"/>
    </row>
    <row r="338" spans="19:19" x14ac:dyDescent="0.3">
      <c r="S338" s="6"/>
    </row>
    <row r="339" spans="19:19" x14ac:dyDescent="0.3">
      <c r="S339" s="6"/>
    </row>
    <row r="340" spans="19:19" x14ac:dyDescent="0.3">
      <c r="S340" s="6"/>
    </row>
    <row r="341" spans="19:19" x14ac:dyDescent="0.3">
      <c r="S341" s="6"/>
    </row>
    <row r="342" spans="19:19" x14ac:dyDescent="0.3">
      <c r="S342" s="6"/>
    </row>
    <row r="343" spans="19:19" x14ac:dyDescent="0.3">
      <c r="S343" s="6"/>
    </row>
    <row r="344" spans="19:19" x14ac:dyDescent="0.3">
      <c r="S344" s="6"/>
    </row>
    <row r="345" spans="19:19" x14ac:dyDescent="0.3">
      <c r="S345" s="6"/>
    </row>
    <row r="346" spans="19:19" x14ac:dyDescent="0.3">
      <c r="S346" s="6"/>
    </row>
    <row r="347" spans="19:19" x14ac:dyDescent="0.3">
      <c r="S347" s="6"/>
    </row>
    <row r="348" spans="19:19" x14ac:dyDescent="0.3">
      <c r="S348" s="6"/>
    </row>
    <row r="349" spans="19:19" x14ac:dyDescent="0.3">
      <c r="S349" s="6"/>
    </row>
    <row r="350" spans="19:19" x14ac:dyDescent="0.3">
      <c r="S350" s="6"/>
    </row>
    <row r="351" spans="19:19" x14ac:dyDescent="0.3">
      <c r="S351" s="6"/>
    </row>
    <row r="352" spans="19:19" x14ac:dyDescent="0.3">
      <c r="S352" s="6"/>
    </row>
    <row r="353" spans="19:19" x14ac:dyDescent="0.3">
      <c r="S353" s="6"/>
    </row>
    <row r="354" spans="19:19" x14ac:dyDescent="0.3">
      <c r="S354" s="6"/>
    </row>
    <row r="355" spans="19:19" x14ac:dyDescent="0.3">
      <c r="S355" s="6"/>
    </row>
    <row r="356" spans="19:19" x14ac:dyDescent="0.3">
      <c r="S356" s="6"/>
    </row>
    <row r="357" spans="19:19" x14ac:dyDescent="0.3">
      <c r="S357" s="6"/>
    </row>
    <row r="358" spans="19:19" x14ac:dyDescent="0.3">
      <c r="S358" s="6"/>
    </row>
    <row r="359" spans="19:19" x14ac:dyDescent="0.3">
      <c r="S359" s="6"/>
    </row>
    <row r="360" spans="19:19" x14ac:dyDescent="0.3">
      <c r="S360" s="6"/>
    </row>
    <row r="361" spans="19:19" x14ac:dyDescent="0.3">
      <c r="S361" s="6"/>
    </row>
    <row r="362" spans="19:19" x14ac:dyDescent="0.3">
      <c r="S362" s="6"/>
    </row>
    <row r="363" spans="19:19" x14ac:dyDescent="0.3">
      <c r="S363" s="6"/>
    </row>
    <row r="364" spans="19:19" x14ac:dyDescent="0.3">
      <c r="S364" s="6"/>
    </row>
    <row r="365" spans="19:19" x14ac:dyDescent="0.3">
      <c r="S365" s="6"/>
    </row>
    <row r="366" spans="19:19" x14ac:dyDescent="0.3">
      <c r="S366" s="6"/>
    </row>
    <row r="367" spans="19:19" x14ac:dyDescent="0.3">
      <c r="S367" s="6"/>
    </row>
    <row r="368" spans="19:19" x14ac:dyDescent="0.3">
      <c r="S368" s="6"/>
    </row>
    <row r="369" spans="19:19" x14ac:dyDescent="0.3">
      <c r="S369" s="6"/>
    </row>
    <row r="370" spans="19:19" x14ac:dyDescent="0.3">
      <c r="S370" s="6"/>
    </row>
    <row r="371" spans="19:19" x14ac:dyDescent="0.3">
      <c r="S371" s="6"/>
    </row>
    <row r="372" spans="19:19" x14ac:dyDescent="0.3">
      <c r="S372" s="6"/>
    </row>
    <row r="373" spans="19:19" x14ac:dyDescent="0.3">
      <c r="S373" s="6"/>
    </row>
    <row r="374" spans="19:19" x14ac:dyDescent="0.3">
      <c r="S374" s="6"/>
    </row>
    <row r="375" spans="19:19" x14ac:dyDescent="0.3">
      <c r="S375" s="6"/>
    </row>
    <row r="376" spans="19:19" x14ac:dyDescent="0.3">
      <c r="S376" s="6"/>
    </row>
    <row r="377" spans="19:19" x14ac:dyDescent="0.3">
      <c r="S377" s="6"/>
    </row>
    <row r="378" spans="19:19" x14ac:dyDescent="0.3">
      <c r="S378" s="6"/>
    </row>
    <row r="379" spans="19:19" x14ac:dyDescent="0.3">
      <c r="S379" s="6"/>
    </row>
    <row r="380" spans="19:19" x14ac:dyDescent="0.3">
      <c r="S380" s="6"/>
    </row>
    <row r="381" spans="19:19" x14ac:dyDescent="0.3">
      <c r="S381" s="6"/>
    </row>
    <row r="382" spans="19:19" x14ac:dyDescent="0.3">
      <c r="S382" s="6"/>
    </row>
    <row r="383" spans="19:19" x14ac:dyDescent="0.3">
      <c r="S383" s="6"/>
    </row>
    <row r="384" spans="19:19" x14ac:dyDescent="0.3">
      <c r="S384" s="6"/>
    </row>
    <row r="385" spans="19:19" x14ac:dyDescent="0.3">
      <c r="S385" s="6"/>
    </row>
    <row r="386" spans="19:19" x14ac:dyDescent="0.3">
      <c r="S386" s="6"/>
    </row>
    <row r="387" spans="19:19" x14ac:dyDescent="0.3">
      <c r="S387" s="6"/>
    </row>
    <row r="388" spans="19:19" x14ac:dyDescent="0.3">
      <c r="S388" s="6"/>
    </row>
    <row r="389" spans="19:19" x14ac:dyDescent="0.3">
      <c r="S389" s="6"/>
    </row>
    <row r="390" spans="19:19" x14ac:dyDescent="0.3">
      <c r="S390" s="6"/>
    </row>
    <row r="391" spans="19:19" x14ac:dyDescent="0.3">
      <c r="S391" s="6"/>
    </row>
    <row r="392" spans="19:19" x14ac:dyDescent="0.3">
      <c r="S392" s="6"/>
    </row>
    <row r="393" spans="19:19" x14ac:dyDescent="0.3">
      <c r="S393" s="6"/>
    </row>
    <row r="394" spans="19:19" x14ac:dyDescent="0.3">
      <c r="S394" s="6"/>
    </row>
    <row r="395" spans="19:19" x14ac:dyDescent="0.3">
      <c r="S395" s="6"/>
    </row>
    <row r="396" spans="19:19" x14ac:dyDescent="0.3">
      <c r="S396" s="6"/>
    </row>
    <row r="397" spans="19:19" x14ac:dyDescent="0.3">
      <c r="S397" s="6"/>
    </row>
    <row r="398" spans="19:19" x14ac:dyDescent="0.3">
      <c r="S398" s="6"/>
    </row>
    <row r="399" spans="19:19" x14ac:dyDescent="0.3">
      <c r="S399" s="6"/>
    </row>
    <row r="400" spans="19:19" x14ac:dyDescent="0.3">
      <c r="S400" s="6"/>
    </row>
    <row r="401" spans="19:19" x14ac:dyDescent="0.3">
      <c r="S401" s="6"/>
    </row>
    <row r="402" spans="19:19" x14ac:dyDescent="0.3">
      <c r="S402" s="6"/>
    </row>
    <row r="403" spans="19:19" x14ac:dyDescent="0.3">
      <c r="S403" s="6"/>
    </row>
    <row r="404" spans="19:19" x14ac:dyDescent="0.3">
      <c r="S404" s="6"/>
    </row>
    <row r="405" spans="19:19" x14ac:dyDescent="0.3">
      <c r="S405" s="6"/>
    </row>
    <row r="406" spans="19:19" x14ac:dyDescent="0.3">
      <c r="S406" s="6"/>
    </row>
    <row r="407" spans="19:19" x14ac:dyDescent="0.3">
      <c r="S407" s="6"/>
    </row>
    <row r="408" spans="19:19" x14ac:dyDescent="0.3">
      <c r="S408" s="6"/>
    </row>
    <row r="409" spans="19:19" x14ac:dyDescent="0.3">
      <c r="S409" s="6"/>
    </row>
    <row r="410" spans="19:19" x14ac:dyDescent="0.3">
      <c r="S410" s="6"/>
    </row>
    <row r="411" spans="19:19" x14ac:dyDescent="0.3">
      <c r="S411" s="6"/>
    </row>
    <row r="412" spans="19:19" x14ac:dyDescent="0.3">
      <c r="S412" s="6"/>
    </row>
    <row r="413" spans="19:19" x14ac:dyDescent="0.3">
      <c r="S413" s="6"/>
    </row>
    <row r="414" spans="19:19" x14ac:dyDescent="0.3">
      <c r="S414" s="6"/>
    </row>
    <row r="415" spans="19:19" x14ac:dyDescent="0.3">
      <c r="S415" s="6"/>
    </row>
    <row r="416" spans="19:19" x14ac:dyDescent="0.3">
      <c r="S416" s="6"/>
    </row>
    <row r="417" spans="19:19" x14ac:dyDescent="0.3">
      <c r="S417" s="6"/>
    </row>
    <row r="418" spans="19:19" x14ac:dyDescent="0.3">
      <c r="S418" s="6"/>
    </row>
    <row r="419" spans="19:19" x14ac:dyDescent="0.3">
      <c r="S419" s="6"/>
    </row>
    <row r="420" spans="19:19" x14ac:dyDescent="0.3">
      <c r="S420" s="6"/>
    </row>
    <row r="421" spans="19:19" x14ac:dyDescent="0.3">
      <c r="S421" s="6"/>
    </row>
    <row r="422" spans="19:19" x14ac:dyDescent="0.3">
      <c r="S422" s="6"/>
    </row>
    <row r="423" spans="19:19" x14ac:dyDescent="0.3">
      <c r="S423" s="6"/>
    </row>
    <row r="424" spans="19:19" x14ac:dyDescent="0.3">
      <c r="S424" s="6"/>
    </row>
    <row r="425" spans="19:19" x14ac:dyDescent="0.3">
      <c r="S425" s="6"/>
    </row>
    <row r="426" spans="19:19" x14ac:dyDescent="0.3">
      <c r="S426" s="6"/>
    </row>
    <row r="427" spans="19:19" x14ac:dyDescent="0.3">
      <c r="S427" s="6"/>
    </row>
    <row r="428" spans="19:19" x14ac:dyDescent="0.3">
      <c r="S428" s="6"/>
    </row>
    <row r="429" spans="19:19" x14ac:dyDescent="0.3">
      <c r="S429" s="6"/>
    </row>
    <row r="430" spans="19:19" x14ac:dyDescent="0.3">
      <c r="S430" s="6"/>
    </row>
    <row r="431" spans="19:19" x14ac:dyDescent="0.3">
      <c r="S431" s="6"/>
    </row>
    <row r="432" spans="19:19" x14ac:dyDescent="0.3">
      <c r="S432" s="6"/>
    </row>
    <row r="433" spans="19:19" x14ac:dyDescent="0.3">
      <c r="S433" s="6"/>
    </row>
    <row r="434" spans="19:19" x14ac:dyDescent="0.3">
      <c r="S434" s="6"/>
    </row>
    <row r="435" spans="19:19" x14ac:dyDescent="0.3">
      <c r="S435" s="6"/>
    </row>
    <row r="436" spans="19:19" x14ac:dyDescent="0.3">
      <c r="S436" s="6"/>
    </row>
    <row r="437" spans="19:19" x14ac:dyDescent="0.3">
      <c r="S437" s="6"/>
    </row>
    <row r="438" spans="19:19" x14ac:dyDescent="0.3">
      <c r="S438" s="6"/>
    </row>
    <row r="439" spans="19:19" x14ac:dyDescent="0.3">
      <c r="S439" s="6"/>
    </row>
    <row r="440" spans="19:19" x14ac:dyDescent="0.3">
      <c r="S440" s="6"/>
    </row>
    <row r="441" spans="19:19" x14ac:dyDescent="0.3">
      <c r="S441" s="6"/>
    </row>
    <row r="442" spans="19:19" x14ac:dyDescent="0.3">
      <c r="S442" s="6"/>
    </row>
    <row r="443" spans="19:19" x14ac:dyDescent="0.3">
      <c r="S443" s="6"/>
    </row>
    <row r="444" spans="19:19" x14ac:dyDescent="0.3">
      <c r="S444" s="6"/>
    </row>
    <row r="445" spans="19:19" x14ac:dyDescent="0.3">
      <c r="S445" s="6"/>
    </row>
    <row r="446" spans="19:19" x14ac:dyDescent="0.3">
      <c r="S446" s="6"/>
    </row>
    <row r="447" spans="19:19" x14ac:dyDescent="0.3">
      <c r="S447" s="6"/>
    </row>
    <row r="448" spans="19:19" x14ac:dyDescent="0.3">
      <c r="S448" s="6"/>
    </row>
    <row r="449" spans="19:19" x14ac:dyDescent="0.3">
      <c r="S449" s="6"/>
    </row>
    <row r="450" spans="19:19" x14ac:dyDescent="0.3">
      <c r="S450" s="6"/>
    </row>
    <row r="451" spans="19:19" x14ac:dyDescent="0.3">
      <c r="S451" s="6"/>
    </row>
    <row r="452" spans="19:19" x14ac:dyDescent="0.3">
      <c r="S452" s="6"/>
    </row>
    <row r="453" spans="19:19" x14ac:dyDescent="0.3">
      <c r="S453" s="6"/>
    </row>
    <row r="454" spans="19:19" x14ac:dyDescent="0.3">
      <c r="S454" s="6"/>
    </row>
    <row r="455" spans="19:19" x14ac:dyDescent="0.3">
      <c r="S455" s="6"/>
    </row>
    <row r="456" spans="19:19" x14ac:dyDescent="0.3">
      <c r="S456" s="6"/>
    </row>
    <row r="457" spans="19:19" x14ac:dyDescent="0.3">
      <c r="S457" s="6"/>
    </row>
    <row r="458" spans="19:19" x14ac:dyDescent="0.3">
      <c r="S458" s="6"/>
    </row>
    <row r="459" spans="19:19" x14ac:dyDescent="0.3">
      <c r="S459" s="6"/>
    </row>
    <row r="460" spans="19:19" x14ac:dyDescent="0.3">
      <c r="S460" s="6"/>
    </row>
    <row r="461" spans="19:19" x14ac:dyDescent="0.3">
      <c r="S461" s="6"/>
    </row>
    <row r="462" spans="19:19" x14ac:dyDescent="0.3">
      <c r="S462" s="6"/>
    </row>
    <row r="463" spans="19:19" x14ac:dyDescent="0.3">
      <c r="S463" s="6"/>
    </row>
    <row r="464" spans="19:19" x14ac:dyDescent="0.3">
      <c r="S464" s="6"/>
    </row>
    <row r="465" spans="19:19" x14ac:dyDescent="0.3">
      <c r="S465" s="6"/>
    </row>
    <row r="466" spans="19:19" x14ac:dyDescent="0.3">
      <c r="S466" s="6"/>
    </row>
    <row r="467" spans="19:19" x14ac:dyDescent="0.3">
      <c r="S467" s="6"/>
    </row>
    <row r="468" spans="19:19" x14ac:dyDescent="0.3">
      <c r="S468" s="6"/>
    </row>
    <row r="469" spans="19:19" x14ac:dyDescent="0.3">
      <c r="S469" s="6"/>
    </row>
    <row r="470" spans="19:19" x14ac:dyDescent="0.3">
      <c r="S470" s="6"/>
    </row>
    <row r="471" spans="19:19" x14ac:dyDescent="0.3">
      <c r="S471" s="6"/>
    </row>
    <row r="472" spans="19:19" x14ac:dyDescent="0.3">
      <c r="S472" s="6"/>
    </row>
    <row r="473" spans="19:19" x14ac:dyDescent="0.3">
      <c r="S473" s="6"/>
    </row>
    <row r="474" spans="19:19" x14ac:dyDescent="0.3">
      <c r="S474" s="6"/>
    </row>
    <row r="475" spans="19:19" x14ac:dyDescent="0.3">
      <c r="S475" s="6"/>
    </row>
    <row r="476" spans="19:19" x14ac:dyDescent="0.3">
      <c r="S476" s="6"/>
    </row>
    <row r="477" spans="19:19" x14ac:dyDescent="0.3">
      <c r="S477" s="6"/>
    </row>
    <row r="478" spans="19:19" x14ac:dyDescent="0.3">
      <c r="S478" s="6"/>
    </row>
    <row r="479" spans="19:19" x14ac:dyDescent="0.3">
      <c r="S479" s="6"/>
    </row>
    <row r="480" spans="19:19" x14ac:dyDescent="0.3">
      <c r="S480" s="6"/>
    </row>
    <row r="481" spans="19:19" x14ac:dyDescent="0.3">
      <c r="S481" s="6"/>
    </row>
    <row r="482" spans="19:19" x14ac:dyDescent="0.3">
      <c r="S482" s="6"/>
    </row>
    <row r="483" spans="19:19" x14ac:dyDescent="0.3">
      <c r="S483" s="6"/>
    </row>
    <row r="484" spans="19:19" x14ac:dyDescent="0.3">
      <c r="S484" s="6"/>
    </row>
    <row r="485" spans="19:19" x14ac:dyDescent="0.3">
      <c r="S485" s="6"/>
    </row>
    <row r="486" spans="19:19" x14ac:dyDescent="0.3">
      <c r="S486" s="6"/>
    </row>
    <row r="487" spans="19:19" x14ac:dyDescent="0.3">
      <c r="S487" s="6"/>
    </row>
    <row r="488" spans="19:19" x14ac:dyDescent="0.3">
      <c r="S488" s="6"/>
    </row>
    <row r="489" spans="19:19" x14ac:dyDescent="0.3">
      <c r="S489" s="6"/>
    </row>
    <row r="490" spans="19:19" x14ac:dyDescent="0.3">
      <c r="S490" s="6"/>
    </row>
    <row r="491" spans="19:19" x14ac:dyDescent="0.3">
      <c r="S491" s="6"/>
    </row>
    <row r="492" spans="19:19" x14ac:dyDescent="0.3">
      <c r="S492" s="6"/>
    </row>
    <row r="493" spans="19:19" x14ac:dyDescent="0.3">
      <c r="S493" s="6"/>
    </row>
    <row r="494" spans="19:19" x14ac:dyDescent="0.3">
      <c r="S494" s="6"/>
    </row>
    <row r="495" spans="19:19" x14ac:dyDescent="0.3">
      <c r="S495" s="6"/>
    </row>
    <row r="496" spans="19:19" x14ac:dyDescent="0.3">
      <c r="S496" s="6"/>
    </row>
    <row r="497" spans="19:19" x14ac:dyDescent="0.3">
      <c r="S497" s="6"/>
    </row>
    <row r="498" spans="19:19" x14ac:dyDescent="0.3">
      <c r="S498" s="6"/>
    </row>
    <row r="499" spans="19:19" x14ac:dyDescent="0.3">
      <c r="S499" s="6"/>
    </row>
    <row r="500" spans="19:19" x14ac:dyDescent="0.3">
      <c r="S500" s="6"/>
    </row>
    <row r="501" spans="19:19" x14ac:dyDescent="0.3">
      <c r="S501" s="6"/>
    </row>
    <row r="502" spans="19:19" x14ac:dyDescent="0.3">
      <c r="S502" s="6"/>
    </row>
    <row r="503" spans="19:19" x14ac:dyDescent="0.3">
      <c r="S503" s="6"/>
    </row>
    <row r="504" spans="19:19" x14ac:dyDescent="0.3">
      <c r="S504" s="6"/>
    </row>
    <row r="505" spans="19:19" x14ac:dyDescent="0.3">
      <c r="S505" s="6"/>
    </row>
    <row r="506" spans="19:19" x14ac:dyDescent="0.3">
      <c r="S506" s="6"/>
    </row>
    <row r="507" spans="19:19" x14ac:dyDescent="0.3">
      <c r="S507" s="6"/>
    </row>
    <row r="508" spans="19:19" x14ac:dyDescent="0.3">
      <c r="S508" s="6"/>
    </row>
    <row r="509" spans="19:19" x14ac:dyDescent="0.3">
      <c r="S509" s="6"/>
    </row>
    <row r="510" spans="19:19" x14ac:dyDescent="0.3">
      <c r="S510" s="6"/>
    </row>
    <row r="511" spans="19:19" x14ac:dyDescent="0.3">
      <c r="S511" s="6"/>
    </row>
    <row r="512" spans="19:19" x14ac:dyDescent="0.3">
      <c r="S512" s="6"/>
    </row>
    <row r="513" spans="19:19" x14ac:dyDescent="0.3">
      <c r="S513" s="6"/>
    </row>
    <row r="514" spans="19:19" x14ac:dyDescent="0.3">
      <c r="S514" s="6"/>
    </row>
    <row r="515" spans="19:19" x14ac:dyDescent="0.3">
      <c r="S515" s="6"/>
    </row>
    <row r="516" spans="19:19" x14ac:dyDescent="0.3">
      <c r="S516" s="6"/>
    </row>
    <row r="517" spans="19:19" x14ac:dyDescent="0.3">
      <c r="S517" s="6"/>
    </row>
    <row r="518" spans="19:19" x14ac:dyDescent="0.3">
      <c r="S518" s="6"/>
    </row>
    <row r="519" spans="19:19" x14ac:dyDescent="0.3">
      <c r="S519" s="6"/>
    </row>
    <row r="520" spans="19:19" x14ac:dyDescent="0.3">
      <c r="S520" s="6"/>
    </row>
    <row r="521" spans="19:19" x14ac:dyDescent="0.3">
      <c r="S521" s="6"/>
    </row>
    <row r="522" spans="19:19" x14ac:dyDescent="0.3">
      <c r="S522" s="6"/>
    </row>
    <row r="523" spans="19:19" x14ac:dyDescent="0.3">
      <c r="S523" s="6"/>
    </row>
    <row r="524" spans="19:19" x14ac:dyDescent="0.3">
      <c r="S524" s="6"/>
    </row>
    <row r="525" spans="19:19" x14ac:dyDescent="0.3">
      <c r="S525" s="6"/>
    </row>
    <row r="526" spans="19:19" x14ac:dyDescent="0.3">
      <c r="S526" s="6"/>
    </row>
    <row r="527" spans="19:19" x14ac:dyDescent="0.3">
      <c r="S527" s="6"/>
    </row>
    <row r="528" spans="19:19" x14ac:dyDescent="0.3">
      <c r="S528" s="6"/>
    </row>
    <row r="529" spans="19:19" x14ac:dyDescent="0.3">
      <c r="S529" s="6"/>
    </row>
    <row r="530" spans="19:19" x14ac:dyDescent="0.3">
      <c r="S530" s="6"/>
    </row>
    <row r="531" spans="19:19" x14ac:dyDescent="0.3">
      <c r="S531" s="6"/>
    </row>
    <row r="532" spans="19:19" x14ac:dyDescent="0.3">
      <c r="S532" s="6"/>
    </row>
    <row r="533" spans="19:19" x14ac:dyDescent="0.3">
      <c r="S533" s="6"/>
    </row>
    <row r="534" spans="19:19" x14ac:dyDescent="0.3">
      <c r="S534" s="6"/>
    </row>
    <row r="535" spans="19:19" x14ac:dyDescent="0.3">
      <c r="S535" s="6"/>
    </row>
    <row r="536" spans="19:19" x14ac:dyDescent="0.3">
      <c r="S536" s="6"/>
    </row>
    <row r="537" spans="19:19" x14ac:dyDescent="0.3">
      <c r="S537" s="6"/>
    </row>
    <row r="538" spans="19:19" x14ac:dyDescent="0.3">
      <c r="S538" s="6"/>
    </row>
    <row r="539" spans="19:19" x14ac:dyDescent="0.3">
      <c r="S539" s="6"/>
    </row>
    <row r="540" spans="19:19" x14ac:dyDescent="0.3">
      <c r="S540" s="6"/>
    </row>
    <row r="541" spans="19:19" x14ac:dyDescent="0.3">
      <c r="S541" s="6"/>
    </row>
    <row r="542" spans="19:19" x14ac:dyDescent="0.3">
      <c r="S542" s="6"/>
    </row>
    <row r="543" spans="19:19" x14ac:dyDescent="0.3">
      <c r="S543" s="6"/>
    </row>
    <row r="544" spans="19:19" x14ac:dyDescent="0.3">
      <c r="S544" s="6"/>
    </row>
    <row r="545" spans="19:19" x14ac:dyDescent="0.3">
      <c r="S545" s="6"/>
    </row>
    <row r="546" spans="19:19" x14ac:dyDescent="0.3">
      <c r="S546" s="6"/>
    </row>
    <row r="547" spans="19:19" x14ac:dyDescent="0.3">
      <c r="S547" s="6"/>
    </row>
    <row r="548" spans="19:19" x14ac:dyDescent="0.3">
      <c r="S548" s="6"/>
    </row>
    <row r="549" spans="19:19" x14ac:dyDescent="0.3">
      <c r="S549" s="6"/>
    </row>
    <row r="550" spans="19:19" x14ac:dyDescent="0.3">
      <c r="S550" s="6"/>
    </row>
    <row r="551" spans="19:19" x14ac:dyDescent="0.3">
      <c r="S551" s="6"/>
    </row>
    <row r="552" spans="19:19" x14ac:dyDescent="0.3">
      <c r="S552" s="6"/>
    </row>
    <row r="553" spans="19:19" x14ac:dyDescent="0.3">
      <c r="S553" s="6"/>
    </row>
    <row r="554" spans="19:19" x14ac:dyDescent="0.3">
      <c r="S554" s="6"/>
    </row>
    <row r="555" spans="19:19" x14ac:dyDescent="0.3">
      <c r="S555" s="6"/>
    </row>
    <row r="556" spans="19:19" x14ac:dyDescent="0.3">
      <c r="S556" s="6"/>
    </row>
    <row r="557" spans="19:19" x14ac:dyDescent="0.3">
      <c r="S557" s="6"/>
    </row>
    <row r="558" spans="19:19" x14ac:dyDescent="0.3">
      <c r="S558" s="6"/>
    </row>
    <row r="559" spans="19:19" x14ac:dyDescent="0.3">
      <c r="S559" s="6"/>
    </row>
    <row r="560" spans="19:19" x14ac:dyDescent="0.3">
      <c r="S560" s="6"/>
    </row>
    <row r="561" spans="19:19" x14ac:dyDescent="0.3">
      <c r="S561" s="6"/>
    </row>
    <row r="562" spans="19:19" x14ac:dyDescent="0.3">
      <c r="S562" s="6"/>
    </row>
    <row r="563" spans="19:19" x14ac:dyDescent="0.3">
      <c r="S563" s="6"/>
    </row>
    <row r="564" spans="19:19" x14ac:dyDescent="0.3">
      <c r="S564" s="6"/>
    </row>
    <row r="565" spans="19:19" x14ac:dyDescent="0.3">
      <c r="S565" s="6"/>
    </row>
    <row r="566" spans="19:19" x14ac:dyDescent="0.3">
      <c r="S566" s="6"/>
    </row>
    <row r="567" spans="19:19" x14ac:dyDescent="0.3">
      <c r="S567" s="6"/>
    </row>
    <row r="568" spans="19:19" x14ac:dyDescent="0.3">
      <c r="S568" s="6"/>
    </row>
    <row r="569" spans="19:19" x14ac:dyDescent="0.3">
      <c r="S569" s="6"/>
    </row>
    <row r="570" spans="19:19" x14ac:dyDescent="0.3">
      <c r="S570" s="6"/>
    </row>
    <row r="571" spans="19:19" x14ac:dyDescent="0.3">
      <c r="S571" s="6"/>
    </row>
    <row r="572" spans="19:19" x14ac:dyDescent="0.3">
      <c r="S572" s="6"/>
    </row>
    <row r="573" spans="19:19" x14ac:dyDescent="0.3">
      <c r="S573" s="6"/>
    </row>
    <row r="574" spans="19:19" x14ac:dyDescent="0.3">
      <c r="S574" s="6"/>
    </row>
    <row r="575" spans="19:19" x14ac:dyDescent="0.3">
      <c r="S575" s="6"/>
    </row>
    <row r="576" spans="19:19" x14ac:dyDescent="0.3">
      <c r="S576" s="6"/>
    </row>
    <row r="577" spans="19:19" x14ac:dyDescent="0.3">
      <c r="S577" s="6"/>
    </row>
    <row r="578" spans="19:19" x14ac:dyDescent="0.3">
      <c r="S578" s="6"/>
    </row>
    <row r="579" spans="19:19" x14ac:dyDescent="0.3">
      <c r="S579" s="6"/>
    </row>
    <row r="580" spans="19:19" x14ac:dyDescent="0.3">
      <c r="S580" s="6"/>
    </row>
    <row r="581" spans="19:19" x14ac:dyDescent="0.3">
      <c r="S581" s="6"/>
    </row>
    <row r="582" spans="19:19" x14ac:dyDescent="0.3">
      <c r="S582" s="6"/>
    </row>
    <row r="583" spans="19:19" x14ac:dyDescent="0.3">
      <c r="S583" s="6"/>
    </row>
    <row r="584" spans="19:19" x14ac:dyDescent="0.3">
      <c r="S584" s="6"/>
    </row>
    <row r="585" spans="19:19" x14ac:dyDescent="0.3">
      <c r="S585" s="6"/>
    </row>
    <row r="586" spans="19:19" x14ac:dyDescent="0.3">
      <c r="S586" s="6"/>
    </row>
    <row r="587" spans="19:19" x14ac:dyDescent="0.3">
      <c r="S587" s="6"/>
    </row>
    <row r="588" spans="19:19" x14ac:dyDescent="0.3">
      <c r="S588" s="6"/>
    </row>
    <row r="589" spans="19:19" x14ac:dyDescent="0.3">
      <c r="S589" s="6"/>
    </row>
    <row r="590" spans="19:19" x14ac:dyDescent="0.3">
      <c r="S590" s="6"/>
    </row>
    <row r="591" spans="19:19" x14ac:dyDescent="0.3">
      <c r="S591" s="6"/>
    </row>
    <row r="592" spans="19:19" x14ac:dyDescent="0.3">
      <c r="S592" s="6"/>
    </row>
    <row r="593" spans="19:19" x14ac:dyDescent="0.3">
      <c r="S593" s="6"/>
    </row>
    <row r="594" spans="19:19" x14ac:dyDescent="0.3">
      <c r="S594" s="6"/>
    </row>
    <row r="595" spans="19:19" x14ac:dyDescent="0.3">
      <c r="S595" s="6"/>
    </row>
    <row r="596" spans="19:19" x14ac:dyDescent="0.3">
      <c r="S596" s="6"/>
    </row>
    <row r="597" spans="19:19" x14ac:dyDescent="0.3">
      <c r="S597" s="6"/>
    </row>
    <row r="598" spans="19:19" x14ac:dyDescent="0.3">
      <c r="S598" s="6"/>
    </row>
    <row r="599" spans="19:19" x14ac:dyDescent="0.3">
      <c r="S599" s="6"/>
    </row>
    <row r="600" spans="19:19" x14ac:dyDescent="0.3">
      <c r="S600" s="6"/>
    </row>
    <row r="601" spans="19:19" x14ac:dyDescent="0.3">
      <c r="S601" s="6"/>
    </row>
    <row r="602" spans="19:19" x14ac:dyDescent="0.3">
      <c r="S602" s="6"/>
    </row>
    <row r="603" spans="19:19" x14ac:dyDescent="0.3">
      <c r="S603" s="6"/>
    </row>
    <row r="604" spans="19:19" x14ac:dyDescent="0.3">
      <c r="S604" s="6"/>
    </row>
    <row r="605" spans="19:19" x14ac:dyDescent="0.3">
      <c r="S605" s="6"/>
    </row>
    <row r="606" spans="19:19" x14ac:dyDescent="0.3">
      <c r="S606" s="6"/>
    </row>
    <row r="607" spans="19:19" x14ac:dyDescent="0.3">
      <c r="S607" s="6"/>
    </row>
    <row r="608" spans="19:19" x14ac:dyDescent="0.3">
      <c r="S608" s="6"/>
    </row>
    <row r="609" spans="19:19" x14ac:dyDescent="0.3">
      <c r="S609" s="6"/>
    </row>
    <row r="610" spans="19:19" x14ac:dyDescent="0.3">
      <c r="S610" s="6"/>
    </row>
    <row r="611" spans="19:19" x14ac:dyDescent="0.3">
      <c r="S611" s="6"/>
    </row>
    <row r="612" spans="19:19" x14ac:dyDescent="0.3">
      <c r="S612" s="6"/>
    </row>
    <row r="613" spans="19:19" x14ac:dyDescent="0.3">
      <c r="S613" s="6"/>
    </row>
    <row r="614" spans="19:19" x14ac:dyDescent="0.3">
      <c r="S614" s="6"/>
    </row>
    <row r="615" spans="19:19" x14ac:dyDescent="0.3">
      <c r="S615" s="6"/>
    </row>
    <row r="616" spans="19:19" x14ac:dyDescent="0.3">
      <c r="S616" s="6"/>
    </row>
    <row r="617" spans="19:19" x14ac:dyDescent="0.3">
      <c r="S617" s="6"/>
    </row>
    <row r="618" spans="19:19" x14ac:dyDescent="0.3">
      <c r="S618" s="6"/>
    </row>
    <row r="619" spans="19:19" x14ac:dyDescent="0.3">
      <c r="S619" s="6"/>
    </row>
    <row r="620" spans="19:19" x14ac:dyDescent="0.3">
      <c r="S620" s="6"/>
    </row>
    <row r="621" spans="19:19" x14ac:dyDescent="0.3">
      <c r="S621" s="6"/>
    </row>
    <row r="622" spans="19:19" x14ac:dyDescent="0.3">
      <c r="S622" s="6"/>
    </row>
    <row r="623" spans="19:19" x14ac:dyDescent="0.3">
      <c r="S623" s="6"/>
    </row>
    <row r="624" spans="19:19" x14ac:dyDescent="0.3">
      <c r="S624" s="6"/>
    </row>
    <row r="625" spans="19:19" x14ac:dyDescent="0.3">
      <c r="S625" s="6"/>
    </row>
    <row r="626" spans="19:19" x14ac:dyDescent="0.3">
      <c r="S626" s="6"/>
    </row>
    <row r="627" spans="19:19" x14ac:dyDescent="0.3">
      <c r="S627" s="6"/>
    </row>
    <row r="628" spans="19:19" x14ac:dyDescent="0.3">
      <c r="S628" s="6"/>
    </row>
    <row r="629" spans="19:19" x14ac:dyDescent="0.3">
      <c r="S629" s="6"/>
    </row>
    <row r="630" spans="19:19" x14ac:dyDescent="0.3">
      <c r="S630" s="6"/>
    </row>
    <row r="631" spans="19:19" x14ac:dyDescent="0.3">
      <c r="S631" s="6"/>
    </row>
    <row r="632" spans="19:19" x14ac:dyDescent="0.3">
      <c r="S632" s="6"/>
    </row>
    <row r="633" spans="19:19" x14ac:dyDescent="0.3">
      <c r="S633" s="6"/>
    </row>
    <row r="634" spans="19:19" x14ac:dyDescent="0.3">
      <c r="S634" s="6"/>
    </row>
    <row r="635" spans="19:19" x14ac:dyDescent="0.3">
      <c r="S635" s="6"/>
    </row>
    <row r="636" spans="19:19" x14ac:dyDescent="0.3">
      <c r="S636" s="6"/>
    </row>
    <row r="637" spans="19:19" x14ac:dyDescent="0.3">
      <c r="S637" s="6"/>
    </row>
    <row r="638" spans="19:19" x14ac:dyDescent="0.3">
      <c r="S638" s="6"/>
    </row>
    <row r="639" spans="19:19" x14ac:dyDescent="0.3">
      <c r="S639" s="6"/>
    </row>
    <row r="640" spans="19:19" x14ac:dyDescent="0.3">
      <c r="S640" s="6"/>
    </row>
    <row r="641" spans="19:19" x14ac:dyDescent="0.3">
      <c r="S641" s="6"/>
    </row>
    <row r="642" spans="19:19" x14ac:dyDescent="0.3">
      <c r="S642" s="6"/>
    </row>
    <row r="643" spans="19:19" x14ac:dyDescent="0.3">
      <c r="S643" s="6"/>
    </row>
    <row r="644" spans="19:19" x14ac:dyDescent="0.3">
      <c r="S644" s="6"/>
    </row>
    <row r="645" spans="19:19" x14ac:dyDescent="0.3">
      <c r="S645" s="6"/>
    </row>
    <row r="646" spans="19:19" x14ac:dyDescent="0.3">
      <c r="S646" s="6"/>
    </row>
    <row r="647" spans="19:19" x14ac:dyDescent="0.3">
      <c r="S647" s="6"/>
    </row>
    <row r="648" spans="19:19" x14ac:dyDescent="0.3">
      <c r="S648" s="6"/>
    </row>
    <row r="649" spans="19:19" x14ac:dyDescent="0.3">
      <c r="S649" s="6"/>
    </row>
    <row r="650" spans="19:19" x14ac:dyDescent="0.3">
      <c r="S650" s="6"/>
    </row>
    <row r="651" spans="19:19" x14ac:dyDescent="0.3">
      <c r="S651" s="6"/>
    </row>
    <row r="652" spans="19:19" x14ac:dyDescent="0.3">
      <c r="S652" s="6"/>
    </row>
    <row r="653" spans="19:19" x14ac:dyDescent="0.3">
      <c r="S653" s="6"/>
    </row>
    <row r="654" spans="19:19" x14ac:dyDescent="0.3">
      <c r="S654" s="6"/>
    </row>
    <row r="655" spans="19:19" x14ac:dyDescent="0.3">
      <c r="S655" s="6"/>
    </row>
    <row r="656" spans="19:19" x14ac:dyDescent="0.3">
      <c r="S656" s="6"/>
    </row>
    <row r="657" spans="19:19" x14ac:dyDescent="0.3">
      <c r="S657" s="6"/>
    </row>
    <row r="658" spans="19:19" x14ac:dyDescent="0.3">
      <c r="S658" s="6"/>
    </row>
    <row r="659" spans="19:19" x14ac:dyDescent="0.3">
      <c r="S659" s="6"/>
    </row>
    <row r="660" spans="19:19" x14ac:dyDescent="0.3">
      <c r="S660" s="6"/>
    </row>
    <row r="661" spans="19:19" x14ac:dyDescent="0.3">
      <c r="S661" s="6"/>
    </row>
    <row r="662" spans="19:19" x14ac:dyDescent="0.3">
      <c r="S662" s="6"/>
    </row>
    <row r="663" spans="19:19" x14ac:dyDescent="0.3">
      <c r="S663" s="6"/>
    </row>
    <row r="664" spans="19:19" x14ac:dyDescent="0.3">
      <c r="S664" s="6"/>
    </row>
    <row r="665" spans="19:19" x14ac:dyDescent="0.3">
      <c r="S665" s="6"/>
    </row>
    <row r="666" spans="19:19" x14ac:dyDescent="0.3">
      <c r="S666" s="6"/>
    </row>
    <row r="667" spans="19:19" x14ac:dyDescent="0.3">
      <c r="S667" s="6"/>
    </row>
    <row r="668" spans="19:19" x14ac:dyDescent="0.3">
      <c r="S668" s="6"/>
    </row>
    <row r="669" spans="19:19" x14ac:dyDescent="0.3">
      <c r="S669" s="6"/>
    </row>
    <row r="670" spans="19:19" x14ac:dyDescent="0.3">
      <c r="S670" s="6"/>
    </row>
    <row r="671" spans="19:19" x14ac:dyDescent="0.3">
      <c r="S671" s="6"/>
    </row>
    <row r="672" spans="19:19" x14ac:dyDescent="0.3">
      <c r="S672" s="6"/>
    </row>
    <row r="673" spans="19:19" x14ac:dyDescent="0.3">
      <c r="S673" s="6"/>
    </row>
    <row r="674" spans="19:19" x14ac:dyDescent="0.3">
      <c r="S674" s="6"/>
    </row>
    <row r="675" spans="19:19" x14ac:dyDescent="0.3">
      <c r="S675" s="6"/>
    </row>
    <row r="676" spans="19:19" x14ac:dyDescent="0.3">
      <c r="S676" s="6"/>
    </row>
    <row r="677" spans="19:19" x14ac:dyDescent="0.3">
      <c r="S677" s="6"/>
    </row>
    <row r="678" spans="19:19" x14ac:dyDescent="0.3">
      <c r="S678" s="6"/>
    </row>
    <row r="679" spans="19:19" x14ac:dyDescent="0.3">
      <c r="S679" s="6"/>
    </row>
    <row r="680" spans="19:19" x14ac:dyDescent="0.3">
      <c r="S680" s="6"/>
    </row>
    <row r="681" spans="19:19" x14ac:dyDescent="0.3">
      <c r="S681" s="6"/>
    </row>
    <row r="682" spans="19:19" x14ac:dyDescent="0.3">
      <c r="S682" s="6"/>
    </row>
    <row r="683" spans="19:19" x14ac:dyDescent="0.3">
      <c r="S683" s="6"/>
    </row>
    <row r="684" spans="19:19" x14ac:dyDescent="0.3">
      <c r="S684" s="6"/>
    </row>
    <row r="685" spans="19:19" x14ac:dyDescent="0.3">
      <c r="S685" s="6"/>
    </row>
    <row r="686" spans="19:19" x14ac:dyDescent="0.3">
      <c r="S686" s="6"/>
    </row>
    <row r="687" spans="19:19" x14ac:dyDescent="0.3">
      <c r="S687" s="6"/>
    </row>
    <row r="688" spans="19:19" x14ac:dyDescent="0.3">
      <c r="S688" s="6"/>
    </row>
    <row r="689" spans="19:19" x14ac:dyDescent="0.3">
      <c r="S689" s="6"/>
    </row>
    <row r="690" spans="19:19" x14ac:dyDescent="0.3">
      <c r="S690" s="6"/>
    </row>
    <row r="691" spans="19:19" x14ac:dyDescent="0.3">
      <c r="S691" s="6"/>
    </row>
    <row r="692" spans="19:19" x14ac:dyDescent="0.3">
      <c r="S692" s="6"/>
    </row>
    <row r="693" spans="19:19" x14ac:dyDescent="0.3">
      <c r="S693" s="6"/>
    </row>
    <row r="694" spans="19:19" x14ac:dyDescent="0.3">
      <c r="S694" s="6"/>
    </row>
    <row r="695" spans="19:19" x14ac:dyDescent="0.3">
      <c r="S695" s="6"/>
    </row>
    <row r="696" spans="19:19" x14ac:dyDescent="0.3">
      <c r="S696" s="6"/>
    </row>
    <row r="697" spans="19:19" x14ac:dyDescent="0.3">
      <c r="S697" s="6"/>
    </row>
    <row r="698" spans="19:19" x14ac:dyDescent="0.3">
      <c r="S698" s="6"/>
    </row>
    <row r="699" spans="19:19" x14ac:dyDescent="0.3">
      <c r="S699" s="6"/>
    </row>
    <row r="700" spans="19:19" x14ac:dyDescent="0.3">
      <c r="S700" s="6"/>
    </row>
    <row r="701" spans="19:19" x14ac:dyDescent="0.3">
      <c r="S701" s="6"/>
    </row>
    <row r="702" spans="19:19" x14ac:dyDescent="0.3">
      <c r="S702" s="6"/>
    </row>
    <row r="703" spans="19:19" x14ac:dyDescent="0.3">
      <c r="S703" s="6"/>
    </row>
    <row r="704" spans="19:19" x14ac:dyDescent="0.3">
      <c r="S704" s="6"/>
    </row>
    <row r="705" spans="19:19" x14ac:dyDescent="0.3">
      <c r="S705" s="6"/>
    </row>
    <row r="706" spans="19:19" x14ac:dyDescent="0.3">
      <c r="S706" s="6"/>
    </row>
    <row r="707" spans="19:19" x14ac:dyDescent="0.3">
      <c r="S707" s="6"/>
    </row>
    <row r="708" spans="19:19" x14ac:dyDescent="0.3">
      <c r="S708" s="6"/>
    </row>
    <row r="709" spans="19:19" x14ac:dyDescent="0.3">
      <c r="S709" s="6"/>
    </row>
    <row r="710" spans="19:19" x14ac:dyDescent="0.3">
      <c r="S710" s="6"/>
    </row>
    <row r="711" spans="19:19" x14ac:dyDescent="0.3">
      <c r="S711" s="6"/>
    </row>
    <row r="712" spans="19:19" x14ac:dyDescent="0.3">
      <c r="S712" s="6"/>
    </row>
    <row r="713" spans="19:19" x14ac:dyDescent="0.3">
      <c r="S713" s="6"/>
    </row>
    <row r="714" spans="19:19" x14ac:dyDescent="0.3">
      <c r="S714" s="6"/>
    </row>
    <row r="715" spans="19:19" x14ac:dyDescent="0.3">
      <c r="S715" s="6"/>
    </row>
    <row r="716" spans="19:19" x14ac:dyDescent="0.3">
      <c r="S716" s="6"/>
    </row>
    <row r="717" spans="19:19" x14ac:dyDescent="0.3">
      <c r="S717" s="6"/>
    </row>
    <row r="718" spans="19:19" x14ac:dyDescent="0.3">
      <c r="S718" s="6"/>
    </row>
    <row r="719" spans="19:19" x14ac:dyDescent="0.3">
      <c r="S719" s="6"/>
    </row>
    <row r="720" spans="19:19" x14ac:dyDescent="0.3">
      <c r="S720" s="6"/>
    </row>
    <row r="721" spans="19:19" x14ac:dyDescent="0.3">
      <c r="S721" s="6"/>
    </row>
    <row r="722" spans="19:19" x14ac:dyDescent="0.3">
      <c r="S722" s="6"/>
    </row>
    <row r="723" spans="19:19" x14ac:dyDescent="0.3">
      <c r="S723" s="6"/>
    </row>
    <row r="724" spans="19:19" x14ac:dyDescent="0.3">
      <c r="S724" s="6"/>
    </row>
    <row r="725" spans="19:19" x14ac:dyDescent="0.3">
      <c r="S725" s="6"/>
    </row>
    <row r="726" spans="19:19" x14ac:dyDescent="0.3">
      <c r="S726" s="6"/>
    </row>
    <row r="727" spans="19:19" x14ac:dyDescent="0.3">
      <c r="S727" s="6"/>
    </row>
    <row r="728" spans="19:19" x14ac:dyDescent="0.3">
      <c r="S728" s="6"/>
    </row>
    <row r="729" spans="19:19" x14ac:dyDescent="0.3">
      <c r="S729" s="6"/>
    </row>
    <row r="730" spans="19:19" x14ac:dyDescent="0.3">
      <c r="S730" s="6"/>
    </row>
    <row r="731" spans="19:19" x14ac:dyDescent="0.3">
      <c r="S731" s="6"/>
    </row>
    <row r="732" spans="19:19" x14ac:dyDescent="0.3">
      <c r="S732" s="6"/>
    </row>
    <row r="733" spans="19:19" x14ac:dyDescent="0.3">
      <c r="S733" s="6"/>
    </row>
    <row r="734" spans="19:19" x14ac:dyDescent="0.3">
      <c r="S734" s="6"/>
    </row>
    <row r="735" spans="19:19" x14ac:dyDescent="0.3">
      <c r="S735" s="6"/>
    </row>
    <row r="736" spans="19:19" x14ac:dyDescent="0.3">
      <c r="S736" s="6"/>
    </row>
    <row r="737" spans="19:19" x14ac:dyDescent="0.3">
      <c r="S737" s="6"/>
    </row>
    <row r="738" spans="19:19" x14ac:dyDescent="0.3">
      <c r="S738" s="6"/>
    </row>
    <row r="739" spans="19:19" x14ac:dyDescent="0.3">
      <c r="S739" s="6"/>
    </row>
    <row r="740" spans="19:19" x14ac:dyDescent="0.3">
      <c r="S740" s="6"/>
    </row>
    <row r="741" spans="19:19" x14ac:dyDescent="0.3">
      <c r="S741" s="6"/>
    </row>
    <row r="742" spans="19:19" x14ac:dyDescent="0.3">
      <c r="S742" s="6"/>
    </row>
    <row r="743" spans="19:19" x14ac:dyDescent="0.3">
      <c r="S743" s="6"/>
    </row>
    <row r="744" spans="19:19" x14ac:dyDescent="0.3">
      <c r="S744" s="6"/>
    </row>
    <row r="745" spans="19:19" x14ac:dyDescent="0.3">
      <c r="S745" s="6"/>
    </row>
    <row r="746" spans="19:19" x14ac:dyDescent="0.3">
      <c r="S746" s="6"/>
    </row>
    <row r="747" spans="19:19" x14ac:dyDescent="0.3">
      <c r="S747" s="6"/>
    </row>
    <row r="748" spans="19:19" x14ac:dyDescent="0.3">
      <c r="S748" s="6"/>
    </row>
    <row r="749" spans="19:19" x14ac:dyDescent="0.3">
      <c r="S749" s="6"/>
    </row>
    <row r="750" spans="19:19" x14ac:dyDescent="0.3">
      <c r="S750" s="6"/>
    </row>
    <row r="751" spans="19:19" x14ac:dyDescent="0.3">
      <c r="S751" s="6"/>
    </row>
    <row r="752" spans="19:19" x14ac:dyDescent="0.3">
      <c r="S752" s="6"/>
    </row>
    <row r="753" spans="19:19" x14ac:dyDescent="0.3">
      <c r="S753" s="6"/>
    </row>
    <row r="754" spans="19:19" x14ac:dyDescent="0.3">
      <c r="S754" s="6"/>
    </row>
    <row r="755" spans="19:19" x14ac:dyDescent="0.3">
      <c r="S755" s="6"/>
    </row>
    <row r="756" spans="19:19" x14ac:dyDescent="0.3">
      <c r="S756" s="6"/>
    </row>
    <row r="757" spans="19:19" x14ac:dyDescent="0.3">
      <c r="S757" s="6"/>
    </row>
    <row r="758" spans="19:19" x14ac:dyDescent="0.3">
      <c r="S758" s="6"/>
    </row>
    <row r="759" spans="19:19" x14ac:dyDescent="0.3">
      <c r="S759" s="6"/>
    </row>
    <row r="760" spans="19:19" x14ac:dyDescent="0.3">
      <c r="S760" s="6"/>
    </row>
    <row r="761" spans="19:19" x14ac:dyDescent="0.3">
      <c r="S761" s="6"/>
    </row>
    <row r="762" spans="19:19" x14ac:dyDescent="0.3">
      <c r="S762" s="6"/>
    </row>
    <row r="763" spans="19:19" x14ac:dyDescent="0.3">
      <c r="S763" s="6"/>
    </row>
    <row r="764" spans="19:19" x14ac:dyDescent="0.3">
      <c r="S764" s="6"/>
    </row>
    <row r="765" spans="19:19" x14ac:dyDescent="0.3">
      <c r="S765" s="6"/>
    </row>
    <row r="766" spans="19:19" x14ac:dyDescent="0.3">
      <c r="S766" s="6"/>
    </row>
    <row r="767" spans="19:19" x14ac:dyDescent="0.3">
      <c r="S767" s="6"/>
    </row>
    <row r="768" spans="19:19" x14ac:dyDescent="0.3">
      <c r="S768" s="6"/>
    </row>
    <row r="769" spans="19:19" x14ac:dyDescent="0.3">
      <c r="S769" s="6"/>
    </row>
    <row r="770" spans="19:19" x14ac:dyDescent="0.3">
      <c r="S770" s="6"/>
    </row>
    <row r="771" spans="19:19" x14ac:dyDescent="0.3">
      <c r="S771" s="6"/>
    </row>
    <row r="772" spans="19:19" x14ac:dyDescent="0.3">
      <c r="S772" s="6"/>
    </row>
    <row r="773" spans="19:19" x14ac:dyDescent="0.3">
      <c r="S773" s="6"/>
    </row>
    <row r="774" spans="19:19" x14ac:dyDescent="0.3">
      <c r="S774" s="6"/>
    </row>
    <row r="775" spans="19:19" x14ac:dyDescent="0.3">
      <c r="S775" s="6"/>
    </row>
    <row r="776" spans="19:19" x14ac:dyDescent="0.3">
      <c r="S776" s="6"/>
    </row>
    <row r="777" spans="19:19" x14ac:dyDescent="0.3">
      <c r="S777" s="6"/>
    </row>
    <row r="778" spans="19:19" x14ac:dyDescent="0.3">
      <c r="S778" s="6"/>
    </row>
    <row r="779" spans="19:19" x14ac:dyDescent="0.3">
      <c r="S779" s="6"/>
    </row>
    <row r="780" spans="19:19" x14ac:dyDescent="0.3">
      <c r="S780" s="6"/>
    </row>
    <row r="781" spans="19:19" x14ac:dyDescent="0.3">
      <c r="S781" s="6"/>
    </row>
    <row r="782" spans="19:19" x14ac:dyDescent="0.3">
      <c r="S782" s="6"/>
    </row>
    <row r="783" spans="19:19" x14ac:dyDescent="0.3">
      <c r="S783" s="6"/>
    </row>
    <row r="784" spans="19:19" x14ac:dyDescent="0.3">
      <c r="S784" s="6"/>
    </row>
    <row r="785" spans="19:19" x14ac:dyDescent="0.3">
      <c r="S785" s="6"/>
    </row>
    <row r="786" spans="19:19" x14ac:dyDescent="0.3">
      <c r="S786" s="6"/>
    </row>
    <row r="787" spans="19:19" x14ac:dyDescent="0.3">
      <c r="S787" s="6"/>
    </row>
    <row r="788" spans="19:19" x14ac:dyDescent="0.3">
      <c r="S788" s="6"/>
    </row>
    <row r="789" spans="19:19" x14ac:dyDescent="0.3">
      <c r="S789" s="6"/>
    </row>
    <row r="790" spans="19:19" x14ac:dyDescent="0.3">
      <c r="S790" s="6"/>
    </row>
    <row r="791" spans="19:19" x14ac:dyDescent="0.3">
      <c r="S791" s="6"/>
    </row>
    <row r="792" spans="19:19" x14ac:dyDescent="0.3">
      <c r="S792" s="6"/>
    </row>
    <row r="793" spans="19:19" x14ac:dyDescent="0.3">
      <c r="S793" s="6"/>
    </row>
    <row r="794" spans="19:19" x14ac:dyDescent="0.3">
      <c r="S794" s="6"/>
    </row>
    <row r="795" spans="19:19" x14ac:dyDescent="0.3">
      <c r="S795" s="6"/>
    </row>
    <row r="796" spans="19:19" x14ac:dyDescent="0.3">
      <c r="S796" s="6"/>
    </row>
    <row r="797" spans="19:19" x14ac:dyDescent="0.3">
      <c r="S797" s="6"/>
    </row>
    <row r="798" spans="19:19" x14ac:dyDescent="0.3">
      <c r="S798" s="6"/>
    </row>
    <row r="799" spans="19:19" x14ac:dyDescent="0.3">
      <c r="S799" s="6"/>
    </row>
    <row r="800" spans="19:19" x14ac:dyDescent="0.3">
      <c r="S800" s="6"/>
    </row>
    <row r="801" spans="19:19" x14ac:dyDescent="0.3">
      <c r="S801" s="6"/>
    </row>
    <row r="802" spans="19:19" x14ac:dyDescent="0.3">
      <c r="S802" s="6"/>
    </row>
    <row r="803" spans="19:19" x14ac:dyDescent="0.3">
      <c r="S803" s="6"/>
    </row>
    <row r="804" spans="19:19" x14ac:dyDescent="0.3">
      <c r="S804" s="6"/>
    </row>
    <row r="805" spans="19:19" x14ac:dyDescent="0.3">
      <c r="S805" s="6"/>
    </row>
    <row r="806" spans="19:19" x14ac:dyDescent="0.3">
      <c r="S806" s="6"/>
    </row>
    <row r="807" spans="19:19" x14ac:dyDescent="0.3">
      <c r="S807" s="6"/>
    </row>
    <row r="808" spans="19:19" x14ac:dyDescent="0.3">
      <c r="S808" s="6"/>
    </row>
    <row r="809" spans="19:19" x14ac:dyDescent="0.3">
      <c r="S809" s="6"/>
    </row>
    <row r="810" spans="19:19" x14ac:dyDescent="0.3">
      <c r="S810" s="6"/>
    </row>
    <row r="811" spans="19:19" x14ac:dyDescent="0.3">
      <c r="S811" s="6"/>
    </row>
    <row r="812" spans="19:19" x14ac:dyDescent="0.3">
      <c r="S812" s="6"/>
    </row>
    <row r="813" spans="19:19" x14ac:dyDescent="0.3">
      <c r="S813" s="6"/>
    </row>
    <row r="814" spans="19:19" x14ac:dyDescent="0.3">
      <c r="S814" s="6"/>
    </row>
    <row r="815" spans="19:19" x14ac:dyDescent="0.3">
      <c r="S815" s="6"/>
    </row>
    <row r="816" spans="19:19" x14ac:dyDescent="0.3">
      <c r="S816" s="6"/>
    </row>
    <row r="817" spans="19:19" x14ac:dyDescent="0.3">
      <c r="S817" s="6"/>
    </row>
    <row r="818" spans="19:19" x14ac:dyDescent="0.3">
      <c r="S818" s="6"/>
    </row>
    <row r="819" spans="19:19" x14ac:dyDescent="0.3">
      <c r="S819" s="6"/>
    </row>
    <row r="820" spans="19:19" x14ac:dyDescent="0.3">
      <c r="S820" s="6"/>
    </row>
    <row r="821" spans="19:19" x14ac:dyDescent="0.3">
      <c r="S821" s="6"/>
    </row>
    <row r="822" spans="19:19" x14ac:dyDescent="0.3">
      <c r="S822" s="6"/>
    </row>
    <row r="823" spans="19:19" x14ac:dyDescent="0.3">
      <c r="S823" s="6"/>
    </row>
    <row r="824" spans="19:19" x14ac:dyDescent="0.3">
      <c r="S824" s="6"/>
    </row>
    <row r="825" spans="19:19" x14ac:dyDescent="0.3">
      <c r="S825" s="6"/>
    </row>
    <row r="826" spans="19:19" x14ac:dyDescent="0.3">
      <c r="S826" s="6"/>
    </row>
    <row r="827" spans="19:19" x14ac:dyDescent="0.3">
      <c r="S827" s="6"/>
    </row>
    <row r="828" spans="19:19" x14ac:dyDescent="0.3">
      <c r="S828" s="6"/>
    </row>
    <row r="829" spans="19:19" x14ac:dyDescent="0.3">
      <c r="S829" s="6"/>
    </row>
    <row r="830" spans="19:19" x14ac:dyDescent="0.3">
      <c r="S830" s="6"/>
    </row>
    <row r="831" spans="19:19" x14ac:dyDescent="0.3">
      <c r="S831" s="6"/>
    </row>
    <row r="832" spans="19:19" x14ac:dyDescent="0.3">
      <c r="S832" s="6"/>
    </row>
    <row r="833" spans="19:19" x14ac:dyDescent="0.3">
      <c r="S833" s="6"/>
    </row>
    <row r="834" spans="19:19" x14ac:dyDescent="0.3">
      <c r="S834" s="6"/>
    </row>
    <row r="835" spans="19:19" x14ac:dyDescent="0.3">
      <c r="S835" s="6"/>
    </row>
    <row r="836" spans="19:19" x14ac:dyDescent="0.3">
      <c r="S836" s="6"/>
    </row>
    <row r="837" spans="19:19" x14ac:dyDescent="0.3">
      <c r="S837" s="6"/>
    </row>
    <row r="838" spans="19:19" x14ac:dyDescent="0.3">
      <c r="S838" s="6"/>
    </row>
    <row r="839" spans="19:19" x14ac:dyDescent="0.3">
      <c r="S839" s="6"/>
    </row>
    <row r="840" spans="19:19" x14ac:dyDescent="0.3">
      <c r="S840" s="6"/>
    </row>
    <row r="841" spans="19:19" x14ac:dyDescent="0.3">
      <c r="S841" s="6"/>
    </row>
    <row r="842" spans="19:19" x14ac:dyDescent="0.3">
      <c r="S842" s="6"/>
    </row>
    <row r="843" spans="19:19" x14ac:dyDescent="0.3">
      <c r="S843" s="6"/>
    </row>
    <row r="844" spans="19:19" x14ac:dyDescent="0.3">
      <c r="S844" s="6"/>
    </row>
    <row r="845" spans="19:19" x14ac:dyDescent="0.3">
      <c r="S845" s="6"/>
    </row>
    <row r="846" spans="19:19" x14ac:dyDescent="0.3">
      <c r="S846" s="6"/>
    </row>
    <row r="847" spans="19:19" x14ac:dyDescent="0.3">
      <c r="S847" s="6"/>
    </row>
    <row r="848" spans="19:19" x14ac:dyDescent="0.3">
      <c r="S848" s="6"/>
    </row>
    <row r="849" spans="19:19" x14ac:dyDescent="0.3">
      <c r="S849" s="6"/>
    </row>
    <row r="850" spans="19:19" x14ac:dyDescent="0.3">
      <c r="S850" s="6"/>
    </row>
    <row r="851" spans="19:19" x14ac:dyDescent="0.3">
      <c r="S851" s="6"/>
    </row>
    <row r="852" spans="19:19" x14ac:dyDescent="0.3">
      <c r="S852" s="6"/>
    </row>
    <row r="853" spans="19:19" x14ac:dyDescent="0.3">
      <c r="S853" s="6"/>
    </row>
    <row r="854" spans="19:19" x14ac:dyDescent="0.3">
      <c r="S854" s="6"/>
    </row>
    <row r="855" spans="19:19" x14ac:dyDescent="0.3">
      <c r="S855" s="6"/>
    </row>
    <row r="856" spans="19:19" x14ac:dyDescent="0.3">
      <c r="S856" s="6"/>
    </row>
    <row r="857" spans="19:19" x14ac:dyDescent="0.3">
      <c r="S857" s="6"/>
    </row>
    <row r="858" spans="19:19" x14ac:dyDescent="0.3">
      <c r="S858" s="6"/>
    </row>
    <row r="859" spans="19:19" x14ac:dyDescent="0.3">
      <c r="S859" s="6"/>
    </row>
    <row r="860" spans="19:19" x14ac:dyDescent="0.3">
      <c r="S860" s="6"/>
    </row>
    <row r="861" spans="19:19" x14ac:dyDescent="0.3">
      <c r="S861" s="6"/>
    </row>
    <row r="862" spans="19:19" x14ac:dyDescent="0.3">
      <c r="S862" s="6"/>
    </row>
    <row r="863" spans="19:19" x14ac:dyDescent="0.3">
      <c r="S863" s="6"/>
    </row>
    <row r="864" spans="19:19" x14ac:dyDescent="0.3">
      <c r="S864" s="6"/>
    </row>
    <row r="865" spans="19:19" x14ac:dyDescent="0.3">
      <c r="S865" s="6"/>
    </row>
    <row r="866" spans="19:19" x14ac:dyDescent="0.3">
      <c r="S866" s="6"/>
    </row>
    <row r="867" spans="19:19" x14ac:dyDescent="0.3">
      <c r="S867" s="6"/>
    </row>
    <row r="868" spans="19:19" x14ac:dyDescent="0.3">
      <c r="S868" s="6"/>
    </row>
    <row r="869" spans="19:19" x14ac:dyDescent="0.3">
      <c r="S869" s="6"/>
    </row>
    <row r="870" spans="19:19" x14ac:dyDescent="0.3">
      <c r="S870" s="6"/>
    </row>
    <row r="871" spans="19:19" x14ac:dyDescent="0.3">
      <c r="S871" s="6"/>
    </row>
    <row r="872" spans="19:19" x14ac:dyDescent="0.3">
      <c r="S872" s="6"/>
    </row>
    <row r="873" spans="19:19" x14ac:dyDescent="0.3">
      <c r="S873" s="6"/>
    </row>
    <row r="874" spans="19:19" x14ac:dyDescent="0.3">
      <c r="S874" s="6"/>
    </row>
    <row r="875" spans="19:19" x14ac:dyDescent="0.3">
      <c r="S875" s="6"/>
    </row>
    <row r="876" spans="19:19" x14ac:dyDescent="0.3">
      <c r="S876" s="6"/>
    </row>
    <row r="877" spans="19:19" x14ac:dyDescent="0.3">
      <c r="S877" s="6"/>
    </row>
    <row r="878" spans="19:19" x14ac:dyDescent="0.3">
      <c r="S878" s="6"/>
    </row>
    <row r="879" spans="19:19" x14ac:dyDescent="0.3">
      <c r="S879" s="6"/>
    </row>
    <row r="880" spans="19:19" x14ac:dyDescent="0.3">
      <c r="S880" s="6"/>
    </row>
    <row r="881" spans="19:19" x14ac:dyDescent="0.3">
      <c r="S881" s="6"/>
    </row>
    <row r="882" spans="19:19" x14ac:dyDescent="0.3">
      <c r="S882" s="6"/>
    </row>
    <row r="883" spans="19:19" x14ac:dyDescent="0.3">
      <c r="S883" s="6"/>
    </row>
    <row r="884" spans="19:19" x14ac:dyDescent="0.3">
      <c r="S884" s="6"/>
    </row>
    <row r="885" spans="19:19" x14ac:dyDescent="0.3">
      <c r="S885" s="6"/>
    </row>
    <row r="886" spans="19:19" x14ac:dyDescent="0.3">
      <c r="S886" s="6"/>
    </row>
    <row r="887" spans="19:19" x14ac:dyDescent="0.3">
      <c r="S887" s="6"/>
    </row>
    <row r="888" spans="19:19" x14ac:dyDescent="0.3">
      <c r="S888" s="6"/>
    </row>
    <row r="889" spans="19:19" x14ac:dyDescent="0.3">
      <c r="S889" s="6"/>
    </row>
    <row r="890" spans="19:19" x14ac:dyDescent="0.3">
      <c r="S890" s="6"/>
    </row>
    <row r="891" spans="19:19" x14ac:dyDescent="0.3">
      <c r="S891" s="6"/>
    </row>
    <row r="892" spans="19:19" x14ac:dyDescent="0.3">
      <c r="S892" s="6"/>
    </row>
    <row r="893" spans="19:19" x14ac:dyDescent="0.3">
      <c r="S893" s="6"/>
    </row>
    <row r="894" spans="19:19" x14ac:dyDescent="0.3">
      <c r="S894" s="6"/>
    </row>
    <row r="895" spans="19:19" x14ac:dyDescent="0.3">
      <c r="S895" s="6"/>
    </row>
    <row r="896" spans="19:19" x14ac:dyDescent="0.3">
      <c r="S896" s="6"/>
    </row>
    <row r="897" spans="19:19" x14ac:dyDescent="0.3">
      <c r="S897" s="6"/>
    </row>
    <row r="898" spans="19:19" x14ac:dyDescent="0.3">
      <c r="S898" s="6"/>
    </row>
    <row r="899" spans="19:19" x14ac:dyDescent="0.3">
      <c r="S899" s="6"/>
    </row>
    <row r="900" spans="19:19" x14ac:dyDescent="0.3">
      <c r="S900" s="6"/>
    </row>
    <row r="901" spans="19:19" x14ac:dyDescent="0.3">
      <c r="S901" s="6"/>
    </row>
    <row r="902" spans="19:19" x14ac:dyDescent="0.3">
      <c r="S902" s="6"/>
    </row>
    <row r="903" spans="19:19" x14ac:dyDescent="0.3">
      <c r="S903" s="6"/>
    </row>
    <row r="904" spans="19:19" x14ac:dyDescent="0.3">
      <c r="S904" s="6"/>
    </row>
    <row r="905" spans="19:19" x14ac:dyDescent="0.3">
      <c r="S905" s="6"/>
    </row>
    <row r="906" spans="19:19" x14ac:dyDescent="0.3">
      <c r="S906" s="6"/>
    </row>
    <row r="907" spans="19:19" x14ac:dyDescent="0.3">
      <c r="S907" s="6"/>
    </row>
    <row r="908" spans="19:19" x14ac:dyDescent="0.3">
      <c r="S908" s="6"/>
    </row>
    <row r="909" spans="19:19" x14ac:dyDescent="0.3">
      <c r="S909" s="6"/>
    </row>
    <row r="910" spans="19:19" x14ac:dyDescent="0.3">
      <c r="S910" s="6"/>
    </row>
    <row r="911" spans="19:19" x14ac:dyDescent="0.3">
      <c r="S911" s="6"/>
    </row>
    <row r="912" spans="19:19" x14ac:dyDescent="0.3">
      <c r="S912" s="6"/>
    </row>
    <row r="913" spans="19:19" x14ac:dyDescent="0.3">
      <c r="S913" s="6"/>
    </row>
    <row r="914" spans="19:19" x14ac:dyDescent="0.3">
      <c r="S914" s="6"/>
    </row>
    <row r="915" spans="19:19" x14ac:dyDescent="0.3">
      <c r="S915" s="6"/>
    </row>
    <row r="916" spans="19:19" x14ac:dyDescent="0.3">
      <c r="S916" s="6"/>
    </row>
    <row r="917" spans="19:19" x14ac:dyDescent="0.3">
      <c r="S917" s="6"/>
    </row>
    <row r="918" spans="19:19" x14ac:dyDescent="0.3">
      <c r="S918" s="6"/>
    </row>
    <row r="919" spans="19:19" x14ac:dyDescent="0.3">
      <c r="S919" s="6"/>
    </row>
    <row r="920" spans="19:19" x14ac:dyDescent="0.3">
      <c r="S920" s="6"/>
    </row>
    <row r="921" spans="19:19" x14ac:dyDescent="0.3">
      <c r="S921" s="6"/>
    </row>
    <row r="922" spans="19:19" x14ac:dyDescent="0.3">
      <c r="S922" s="6"/>
    </row>
    <row r="923" spans="19:19" x14ac:dyDescent="0.3">
      <c r="S923" s="6"/>
    </row>
    <row r="924" spans="19:19" x14ac:dyDescent="0.3">
      <c r="S924" s="6"/>
    </row>
    <row r="925" spans="19:19" x14ac:dyDescent="0.3">
      <c r="S925" s="6"/>
    </row>
    <row r="926" spans="19:19" x14ac:dyDescent="0.3">
      <c r="S926" s="6"/>
    </row>
    <row r="927" spans="19:19" x14ac:dyDescent="0.3">
      <c r="S927" s="6"/>
    </row>
    <row r="928" spans="19:19" x14ac:dyDescent="0.3">
      <c r="S928" s="6"/>
    </row>
    <row r="929" spans="19:19" x14ac:dyDescent="0.3">
      <c r="S929" s="6"/>
    </row>
    <row r="930" spans="19:19" x14ac:dyDescent="0.3">
      <c r="S930" s="6"/>
    </row>
    <row r="931" spans="19:19" x14ac:dyDescent="0.3">
      <c r="S931" s="6"/>
    </row>
    <row r="932" spans="19:19" x14ac:dyDescent="0.3">
      <c r="S932" s="6"/>
    </row>
    <row r="933" spans="19:19" x14ac:dyDescent="0.3">
      <c r="S933" s="6"/>
    </row>
    <row r="934" spans="19:19" x14ac:dyDescent="0.3">
      <c r="S934" s="6"/>
    </row>
    <row r="935" spans="19:19" x14ac:dyDescent="0.3">
      <c r="S935" s="6"/>
    </row>
    <row r="936" spans="19:19" x14ac:dyDescent="0.3">
      <c r="S936" s="6"/>
    </row>
    <row r="937" spans="19:19" x14ac:dyDescent="0.3">
      <c r="S937" s="6"/>
    </row>
    <row r="938" spans="19:19" x14ac:dyDescent="0.3">
      <c r="S938" s="6"/>
    </row>
    <row r="939" spans="19:19" x14ac:dyDescent="0.3">
      <c r="S939" s="6"/>
    </row>
    <row r="940" spans="19:19" x14ac:dyDescent="0.3">
      <c r="S940" s="6"/>
    </row>
    <row r="941" spans="19:19" x14ac:dyDescent="0.3">
      <c r="S941" s="6"/>
    </row>
    <row r="942" spans="19:19" x14ac:dyDescent="0.3">
      <c r="S942" s="6"/>
    </row>
    <row r="943" spans="19:19" x14ac:dyDescent="0.3">
      <c r="S943" s="6"/>
    </row>
    <row r="944" spans="19:19" x14ac:dyDescent="0.3">
      <c r="S944" s="6"/>
    </row>
    <row r="945" spans="19:19" x14ac:dyDescent="0.3">
      <c r="S945" s="6"/>
    </row>
    <row r="946" spans="19:19" x14ac:dyDescent="0.3">
      <c r="S946" s="6"/>
    </row>
    <row r="947" spans="19:19" x14ac:dyDescent="0.3">
      <c r="S947" s="6"/>
    </row>
    <row r="948" spans="19:19" x14ac:dyDescent="0.3">
      <c r="S948" s="6"/>
    </row>
    <row r="949" spans="19:19" x14ac:dyDescent="0.3">
      <c r="S949" s="6"/>
    </row>
    <row r="950" spans="19:19" x14ac:dyDescent="0.3">
      <c r="S950" s="6"/>
    </row>
    <row r="951" spans="19:19" x14ac:dyDescent="0.3">
      <c r="S951" s="6"/>
    </row>
    <row r="952" spans="19:19" x14ac:dyDescent="0.3">
      <c r="S952" s="6"/>
    </row>
    <row r="953" spans="19:19" x14ac:dyDescent="0.3">
      <c r="S953" s="6"/>
    </row>
    <row r="954" spans="19:19" x14ac:dyDescent="0.3">
      <c r="S954" s="6"/>
    </row>
    <row r="955" spans="19:19" x14ac:dyDescent="0.3">
      <c r="S955" s="6"/>
    </row>
    <row r="956" spans="19:19" x14ac:dyDescent="0.3">
      <c r="S956" s="6"/>
    </row>
    <row r="957" spans="19:19" x14ac:dyDescent="0.3">
      <c r="S957" s="6"/>
    </row>
    <row r="958" spans="19:19" x14ac:dyDescent="0.3">
      <c r="S958" s="6"/>
    </row>
    <row r="959" spans="19:19" x14ac:dyDescent="0.3">
      <c r="S959" s="6"/>
    </row>
    <row r="960" spans="19:19" x14ac:dyDescent="0.3">
      <c r="S960" s="6"/>
    </row>
    <row r="961" spans="19:19" x14ac:dyDescent="0.3">
      <c r="S961" s="6"/>
    </row>
    <row r="962" spans="19:19" x14ac:dyDescent="0.3">
      <c r="S962" s="6"/>
    </row>
    <row r="963" spans="19:19" x14ac:dyDescent="0.3">
      <c r="S963" s="6"/>
    </row>
    <row r="964" spans="19:19" x14ac:dyDescent="0.3">
      <c r="S964" s="6"/>
    </row>
    <row r="965" spans="19:19" x14ac:dyDescent="0.3">
      <c r="S965" s="6"/>
    </row>
    <row r="966" spans="19:19" x14ac:dyDescent="0.3">
      <c r="S966" s="6"/>
    </row>
    <row r="967" spans="19:19" x14ac:dyDescent="0.3">
      <c r="S967" s="6"/>
    </row>
    <row r="968" spans="19:19" x14ac:dyDescent="0.3">
      <c r="S968" s="6"/>
    </row>
    <row r="969" spans="19:19" x14ac:dyDescent="0.3">
      <c r="S969" s="6"/>
    </row>
    <row r="970" spans="19:19" x14ac:dyDescent="0.3">
      <c r="S970" s="6"/>
    </row>
    <row r="971" spans="19:19" x14ac:dyDescent="0.3">
      <c r="S971" s="6"/>
    </row>
    <row r="972" spans="19:19" x14ac:dyDescent="0.3">
      <c r="S972" s="6"/>
    </row>
    <row r="973" spans="19:19" x14ac:dyDescent="0.3">
      <c r="S973" s="6"/>
    </row>
    <row r="974" spans="19:19" x14ac:dyDescent="0.3">
      <c r="S974" s="6"/>
    </row>
    <row r="975" spans="19:19" x14ac:dyDescent="0.3">
      <c r="S975" s="6"/>
    </row>
    <row r="976" spans="19:19" x14ac:dyDescent="0.3">
      <c r="S976" s="6"/>
    </row>
    <row r="977" spans="19:19" x14ac:dyDescent="0.3">
      <c r="S977" s="6"/>
    </row>
    <row r="978" spans="19:19" x14ac:dyDescent="0.3">
      <c r="S978" s="6"/>
    </row>
    <row r="979" spans="19:19" x14ac:dyDescent="0.3">
      <c r="S979" s="6"/>
    </row>
    <row r="980" spans="19:19" x14ac:dyDescent="0.3">
      <c r="S980" s="6"/>
    </row>
    <row r="981" spans="19:19" x14ac:dyDescent="0.3">
      <c r="S981" s="6"/>
    </row>
    <row r="982" spans="19:19" x14ac:dyDescent="0.3">
      <c r="S982" s="6"/>
    </row>
    <row r="983" spans="19:19" x14ac:dyDescent="0.3">
      <c r="S983" s="6"/>
    </row>
    <row r="984" spans="19:19" x14ac:dyDescent="0.3">
      <c r="S984" s="6"/>
    </row>
    <row r="985" spans="19:19" x14ac:dyDescent="0.3">
      <c r="S985" s="6"/>
    </row>
    <row r="986" spans="19:19" x14ac:dyDescent="0.3">
      <c r="S986" s="6"/>
    </row>
    <row r="987" spans="19:19" x14ac:dyDescent="0.3">
      <c r="S987" s="6"/>
    </row>
    <row r="988" spans="19:19" x14ac:dyDescent="0.3">
      <c r="S988" s="6"/>
    </row>
    <row r="989" spans="19:19" x14ac:dyDescent="0.3">
      <c r="S989" s="6"/>
    </row>
    <row r="990" spans="19:19" x14ac:dyDescent="0.3">
      <c r="S990" s="6"/>
    </row>
    <row r="991" spans="19:19" x14ac:dyDescent="0.3">
      <c r="S991" s="6"/>
    </row>
    <row r="992" spans="19:19" x14ac:dyDescent="0.3">
      <c r="S992" s="6"/>
    </row>
    <row r="993" spans="19:19" x14ac:dyDescent="0.3">
      <c r="S993" s="6"/>
    </row>
    <row r="994" spans="19:19" x14ac:dyDescent="0.3">
      <c r="S994" s="6"/>
    </row>
    <row r="995" spans="19:19" x14ac:dyDescent="0.3">
      <c r="S995" s="6"/>
    </row>
    <row r="996" spans="19:19" x14ac:dyDescent="0.3">
      <c r="S996" s="6"/>
    </row>
    <row r="997" spans="19:19" x14ac:dyDescent="0.3">
      <c r="S997" s="6"/>
    </row>
    <row r="998" spans="19:19" x14ac:dyDescent="0.3">
      <c r="S998" s="6"/>
    </row>
    <row r="999" spans="19:19" x14ac:dyDescent="0.3">
      <c r="S999" s="6"/>
    </row>
    <row r="1000" spans="19:19" x14ac:dyDescent="0.3">
      <c r="S1000" s="6"/>
    </row>
    <row r="1001" spans="19:19" x14ac:dyDescent="0.3">
      <c r="S1001" s="6"/>
    </row>
    <row r="1002" spans="19:19" x14ac:dyDescent="0.3">
      <c r="S1002" s="6"/>
    </row>
    <row r="1003" spans="19:19" x14ac:dyDescent="0.3">
      <c r="S1003" s="6"/>
    </row>
    <row r="1004" spans="19:19" x14ac:dyDescent="0.3">
      <c r="S1004" s="6"/>
    </row>
    <row r="1005" spans="19:19" x14ac:dyDescent="0.3">
      <c r="S1005" s="6"/>
    </row>
    <row r="1006" spans="19:19" x14ac:dyDescent="0.3">
      <c r="S1006" s="6"/>
    </row>
    <row r="1007" spans="19:19" x14ac:dyDescent="0.3">
      <c r="S1007" s="6"/>
    </row>
    <row r="1008" spans="19:19" x14ac:dyDescent="0.3">
      <c r="S1008" s="6"/>
    </row>
    <row r="1009" spans="19:19" x14ac:dyDescent="0.3">
      <c r="S1009" s="6"/>
    </row>
    <row r="1010" spans="19:19" x14ac:dyDescent="0.3">
      <c r="S1010" s="6"/>
    </row>
    <row r="1011" spans="19:19" x14ac:dyDescent="0.3">
      <c r="S1011" s="6"/>
    </row>
    <row r="1012" spans="19:19" x14ac:dyDescent="0.3">
      <c r="S1012" s="6"/>
    </row>
    <row r="1013" spans="19:19" x14ac:dyDescent="0.3">
      <c r="S1013" s="6"/>
    </row>
    <row r="1014" spans="19:19" x14ac:dyDescent="0.3">
      <c r="S1014" s="6"/>
    </row>
    <row r="1015" spans="19:19" x14ac:dyDescent="0.3">
      <c r="S1015" s="6"/>
    </row>
    <row r="1016" spans="19:19" x14ac:dyDescent="0.3">
      <c r="S1016" s="6"/>
    </row>
    <row r="1017" spans="19:19" x14ac:dyDescent="0.3">
      <c r="S1017" s="6"/>
    </row>
    <row r="1018" spans="19:19" x14ac:dyDescent="0.3">
      <c r="S1018" s="6"/>
    </row>
    <row r="1019" spans="19:19" x14ac:dyDescent="0.3">
      <c r="S1019" s="6"/>
    </row>
    <row r="1020" spans="19:19" x14ac:dyDescent="0.3">
      <c r="S1020" s="6"/>
    </row>
    <row r="1021" spans="19:19" x14ac:dyDescent="0.3">
      <c r="S1021" s="6"/>
    </row>
    <row r="1022" spans="19:19" x14ac:dyDescent="0.3">
      <c r="S1022" s="6"/>
    </row>
    <row r="1023" spans="19:19" x14ac:dyDescent="0.3">
      <c r="S1023" s="6"/>
    </row>
    <row r="1024" spans="19:19" x14ac:dyDescent="0.3">
      <c r="S1024" s="6"/>
    </row>
    <row r="1025" spans="19:19" x14ac:dyDescent="0.3">
      <c r="S1025" s="6"/>
    </row>
    <row r="1026" spans="19:19" x14ac:dyDescent="0.3">
      <c r="S1026" s="6"/>
    </row>
    <row r="1027" spans="19:19" x14ac:dyDescent="0.3">
      <c r="S1027" s="6"/>
    </row>
    <row r="1028" spans="19:19" x14ac:dyDescent="0.3">
      <c r="S1028" s="6"/>
    </row>
    <row r="1029" spans="19:19" x14ac:dyDescent="0.3">
      <c r="S1029" s="6"/>
    </row>
    <row r="1030" spans="19:19" x14ac:dyDescent="0.3">
      <c r="S1030" s="6"/>
    </row>
    <row r="1031" spans="19:19" x14ac:dyDescent="0.3">
      <c r="S1031" s="6"/>
    </row>
    <row r="1032" spans="19:19" x14ac:dyDescent="0.3">
      <c r="S1032" s="6"/>
    </row>
    <row r="1033" spans="19:19" x14ac:dyDescent="0.3">
      <c r="S1033" s="6"/>
    </row>
    <row r="1034" spans="19:19" x14ac:dyDescent="0.3">
      <c r="S1034" s="6"/>
    </row>
    <row r="1035" spans="19:19" x14ac:dyDescent="0.3">
      <c r="S1035" s="6"/>
    </row>
    <row r="1036" spans="19:19" x14ac:dyDescent="0.3">
      <c r="S1036" s="6"/>
    </row>
    <row r="1037" spans="19:19" x14ac:dyDescent="0.3">
      <c r="S1037" s="6"/>
    </row>
    <row r="1038" spans="19:19" x14ac:dyDescent="0.3">
      <c r="S1038" s="6"/>
    </row>
    <row r="1039" spans="19:19" x14ac:dyDescent="0.3">
      <c r="S1039" s="6"/>
    </row>
    <row r="1040" spans="19:19" x14ac:dyDescent="0.3">
      <c r="S1040" s="6"/>
    </row>
    <row r="1041" spans="19:19" x14ac:dyDescent="0.3">
      <c r="S1041" s="6"/>
    </row>
    <row r="1042" spans="19:19" x14ac:dyDescent="0.3">
      <c r="S1042" s="6"/>
    </row>
    <row r="1043" spans="19:19" x14ac:dyDescent="0.3">
      <c r="S1043" s="6"/>
    </row>
    <row r="1044" spans="19:19" x14ac:dyDescent="0.3">
      <c r="S1044" s="6"/>
    </row>
    <row r="1045" spans="19:19" x14ac:dyDescent="0.3">
      <c r="S1045" s="6"/>
    </row>
    <row r="1046" spans="19:19" x14ac:dyDescent="0.3">
      <c r="S1046" s="6"/>
    </row>
    <row r="1047" spans="19:19" x14ac:dyDescent="0.3">
      <c r="S1047" s="6"/>
    </row>
    <row r="1048" spans="19:19" x14ac:dyDescent="0.3">
      <c r="S1048" s="6"/>
    </row>
    <row r="1049" spans="19:19" x14ac:dyDescent="0.3">
      <c r="S1049" s="6"/>
    </row>
    <row r="1050" spans="19:19" x14ac:dyDescent="0.3">
      <c r="S1050" s="6"/>
    </row>
    <row r="1051" spans="19:19" x14ac:dyDescent="0.3">
      <c r="S1051" s="6"/>
    </row>
    <row r="1052" spans="19:19" x14ac:dyDescent="0.3">
      <c r="S1052" s="6"/>
    </row>
    <row r="1053" spans="19:19" x14ac:dyDescent="0.3">
      <c r="S1053" s="6"/>
    </row>
    <row r="1054" spans="19:19" x14ac:dyDescent="0.3">
      <c r="S1054" s="6"/>
    </row>
    <row r="1055" spans="19:19" x14ac:dyDescent="0.3">
      <c r="S1055" s="6"/>
    </row>
    <row r="1056" spans="19:19" x14ac:dyDescent="0.3">
      <c r="S1056" s="6"/>
    </row>
    <row r="1057" spans="19:19" x14ac:dyDescent="0.3">
      <c r="S1057" s="6"/>
    </row>
    <row r="1058" spans="19:19" x14ac:dyDescent="0.3">
      <c r="S1058" s="6"/>
    </row>
    <row r="1059" spans="19:19" x14ac:dyDescent="0.3">
      <c r="S1059" s="6"/>
    </row>
    <row r="1060" spans="19:19" x14ac:dyDescent="0.3">
      <c r="S1060" s="6"/>
    </row>
    <row r="1061" spans="19:19" x14ac:dyDescent="0.3">
      <c r="S1061" s="6"/>
    </row>
    <row r="1062" spans="19:19" x14ac:dyDescent="0.3">
      <c r="S1062" s="6"/>
    </row>
    <row r="1063" spans="19:19" x14ac:dyDescent="0.3">
      <c r="S1063" s="6"/>
    </row>
    <row r="1064" spans="19:19" x14ac:dyDescent="0.3">
      <c r="S1064" s="6"/>
    </row>
    <row r="1065" spans="19:19" x14ac:dyDescent="0.3">
      <c r="S1065" s="6"/>
    </row>
    <row r="1066" spans="19:19" x14ac:dyDescent="0.3">
      <c r="S1066" s="6"/>
    </row>
    <row r="1067" spans="19:19" x14ac:dyDescent="0.3">
      <c r="S1067" s="6"/>
    </row>
    <row r="1068" spans="19:19" x14ac:dyDescent="0.3">
      <c r="S1068" s="6"/>
    </row>
    <row r="1069" spans="19:19" x14ac:dyDescent="0.3">
      <c r="S1069" s="6"/>
    </row>
    <row r="1070" spans="19:19" x14ac:dyDescent="0.3">
      <c r="S1070" s="6"/>
    </row>
    <row r="1071" spans="19:19" x14ac:dyDescent="0.3">
      <c r="S1071" s="6"/>
    </row>
    <row r="1072" spans="19:19" x14ac:dyDescent="0.3">
      <c r="S1072" s="6"/>
    </row>
    <row r="1073" spans="19:19" x14ac:dyDescent="0.3">
      <c r="S1073" s="6"/>
    </row>
    <row r="1074" spans="19:19" x14ac:dyDescent="0.3">
      <c r="S1074" s="6"/>
    </row>
    <row r="1075" spans="19:19" x14ac:dyDescent="0.3">
      <c r="S1075" s="6"/>
    </row>
    <row r="1076" spans="19:19" x14ac:dyDescent="0.3">
      <c r="S1076" s="6"/>
    </row>
    <row r="1077" spans="19:19" x14ac:dyDescent="0.3">
      <c r="S1077" s="6"/>
    </row>
    <row r="1078" spans="19:19" x14ac:dyDescent="0.3">
      <c r="S1078" s="6"/>
    </row>
    <row r="1079" spans="19:19" x14ac:dyDescent="0.3">
      <c r="S1079" s="6"/>
    </row>
    <row r="1080" spans="19:19" x14ac:dyDescent="0.3">
      <c r="S1080" s="6"/>
    </row>
    <row r="1081" spans="19:19" x14ac:dyDescent="0.3">
      <c r="S1081" s="6"/>
    </row>
    <row r="1082" spans="19:19" x14ac:dyDescent="0.3">
      <c r="S1082" s="6"/>
    </row>
    <row r="1083" spans="19:19" x14ac:dyDescent="0.3">
      <c r="S1083" s="6"/>
    </row>
    <row r="1084" spans="19:19" x14ac:dyDescent="0.3">
      <c r="S1084" s="6"/>
    </row>
    <row r="1085" spans="19:19" x14ac:dyDescent="0.3">
      <c r="S1085" s="6"/>
    </row>
    <row r="1086" spans="19:19" x14ac:dyDescent="0.3">
      <c r="S1086" s="6"/>
    </row>
    <row r="1087" spans="19:19" x14ac:dyDescent="0.3">
      <c r="S1087" s="6"/>
    </row>
    <row r="1088" spans="19:19" x14ac:dyDescent="0.3">
      <c r="S1088" s="6"/>
    </row>
    <row r="1089" spans="19:19" x14ac:dyDescent="0.3">
      <c r="S1089" s="6"/>
    </row>
    <row r="1090" spans="19:19" x14ac:dyDescent="0.3">
      <c r="S1090" s="6"/>
    </row>
    <row r="1091" spans="19:19" x14ac:dyDescent="0.3">
      <c r="S1091" s="6"/>
    </row>
    <row r="1092" spans="19:19" x14ac:dyDescent="0.3">
      <c r="S1092" s="6"/>
    </row>
    <row r="1093" spans="19:19" x14ac:dyDescent="0.3">
      <c r="S1093" s="6"/>
    </row>
    <row r="1094" spans="19:19" x14ac:dyDescent="0.3">
      <c r="S1094" s="6"/>
    </row>
    <row r="1095" spans="19:19" x14ac:dyDescent="0.3">
      <c r="S1095" s="6"/>
    </row>
    <row r="1096" spans="19:19" x14ac:dyDescent="0.3">
      <c r="S1096" s="6"/>
    </row>
    <row r="1097" spans="19:19" x14ac:dyDescent="0.3">
      <c r="S1097" s="6"/>
    </row>
    <row r="1098" spans="19:19" x14ac:dyDescent="0.3">
      <c r="S1098" s="6"/>
    </row>
    <row r="1099" spans="19:19" x14ac:dyDescent="0.3">
      <c r="S1099" s="6"/>
    </row>
    <row r="1100" spans="19:19" x14ac:dyDescent="0.3">
      <c r="S1100" s="6"/>
    </row>
    <row r="1101" spans="19:19" x14ac:dyDescent="0.3">
      <c r="S1101" s="6"/>
    </row>
    <row r="1102" spans="19:19" x14ac:dyDescent="0.3">
      <c r="S1102" s="6"/>
    </row>
    <row r="1103" spans="19:19" x14ac:dyDescent="0.3">
      <c r="S1103" s="6"/>
    </row>
    <row r="1104" spans="19:19" x14ac:dyDescent="0.3">
      <c r="S1104" s="6"/>
    </row>
    <row r="1105" spans="19:19" x14ac:dyDescent="0.3">
      <c r="S1105" s="6"/>
    </row>
    <row r="1106" spans="19:19" x14ac:dyDescent="0.3">
      <c r="S1106" s="6"/>
    </row>
    <row r="1107" spans="19:19" x14ac:dyDescent="0.3">
      <c r="S1107" s="6"/>
    </row>
    <row r="1108" spans="19:19" x14ac:dyDescent="0.3">
      <c r="S1108" s="6"/>
    </row>
    <row r="1109" spans="19:19" x14ac:dyDescent="0.3">
      <c r="S1109" s="6"/>
    </row>
    <row r="1110" spans="19:19" x14ac:dyDescent="0.3">
      <c r="S1110" s="6"/>
    </row>
    <row r="1111" spans="19:19" x14ac:dyDescent="0.3">
      <c r="S1111" s="6"/>
    </row>
    <row r="1112" spans="19:19" x14ac:dyDescent="0.3">
      <c r="S1112" s="6"/>
    </row>
    <row r="1113" spans="19:19" x14ac:dyDescent="0.3">
      <c r="S1113" s="6"/>
    </row>
    <row r="1114" spans="19:19" x14ac:dyDescent="0.3">
      <c r="S1114" s="6"/>
    </row>
    <row r="1115" spans="19:19" x14ac:dyDescent="0.3">
      <c r="S1115" s="6"/>
    </row>
    <row r="1116" spans="19:19" x14ac:dyDescent="0.3">
      <c r="S1116" s="6"/>
    </row>
    <row r="1117" spans="19:19" x14ac:dyDescent="0.3">
      <c r="S1117" s="6"/>
    </row>
    <row r="1118" spans="19:19" x14ac:dyDescent="0.3">
      <c r="S1118" s="6"/>
    </row>
    <row r="1119" spans="19:19" x14ac:dyDescent="0.3">
      <c r="S1119" s="6"/>
    </row>
    <row r="1120" spans="19:19" x14ac:dyDescent="0.3">
      <c r="S1120" s="6"/>
    </row>
    <row r="1121" spans="19:19" x14ac:dyDescent="0.3">
      <c r="S1121" s="6"/>
    </row>
    <row r="1122" spans="19:19" x14ac:dyDescent="0.3">
      <c r="S1122" s="6"/>
    </row>
    <row r="1123" spans="19:19" x14ac:dyDescent="0.3">
      <c r="S1123" s="6"/>
    </row>
    <row r="1124" spans="19:19" x14ac:dyDescent="0.3">
      <c r="S1124" s="6"/>
    </row>
    <row r="1125" spans="19:19" x14ac:dyDescent="0.3">
      <c r="S1125" s="6"/>
    </row>
    <row r="1126" spans="19:19" x14ac:dyDescent="0.3">
      <c r="S1126" s="6"/>
    </row>
    <row r="1127" spans="19:19" x14ac:dyDescent="0.3">
      <c r="S1127" s="6"/>
    </row>
    <row r="1128" spans="19:19" x14ac:dyDescent="0.3">
      <c r="S1128" s="6"/>
    </row>
    <row r="1129" spans="19:19" x14ac:dyDescent="0.3">
      <c r="S1129" s="6"/>
    </row>
    <row r="1130" spans="19:19" x14ac:dyDescent="0.3">
      <c r="S1130" s="6"/>
    </row>
    <row r="1131" spans="19:19" x14ac:dyDescent="0.3">
      <c r="S1131" s="6"/>
    </row>
    <row r="1132" spans="19:19" x14ac:dyDescent="0.3">
      <c r="S1132" s="6"/>
    </row>
    <row r="1133" spans="19:19" x14ac:dyDescent="0.3">
      <c r="S1133" s="6"/>
    </row>
    <row r="1134" spans="19:19" x14ac:dyDescent="0.3">
      <c r="S1134" s="6"/>
    </row>
    <row r="1135" spans="19:19" x14ac:dyDescent="0.3">
      <c r="S1135" s="6"/>
    </row>
    <row r="1136" spans="19:19" x14ac:dyDescent="0.3">
      <c r="S1136" s="6"/>
    </row>
    <row r="1137" spans="19:19" x14ac:dyDescent="0.3">
      <c r="S1137" s="6"/>
    </row>
  </sheetData>
  <mergeCells count="1">
    <mergeCell ref="A4:B4"/>
  </mergeCells>
  <phoneticPr fontId="6" type="noConversion"/>
  <printOptions horizontalCentered="1" verticalCentered="1"/>
  <pageMargins left="0.19685039370078741" right="7.874015748031496E-2" top="0.19685039370078741" bottom="0.19685039370078741" header="0.19685039370078741" footer="0.15748031496062992"/>
  <pageSetup paperSize="8" scale="59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P36"/>
  <sheetViews>
    <sheetView zoomScaleNormal="100" workbookViewId="0">
      <pane xSplit="12" ySplit="13" topLeftCell="M23" activePane="bottomRight" state="frozen"/>
      <selection pane="topRight" activeCell="M1" sqref="M1"/>
      <selection pane="bottomLeft" activeCell="A14" sqref="A14"/>
      <selection pane="bottomRight" activeCell="G30" sqref="G30:G31"/>
    </sheetView>
  </sheetViews>
  <sheetFormatPr defaultColWidth="9.08984375" defaultRowHeight="12.5" x14ac:dyDescent="0.25"/>
  <cols>
    <col min="1" max="1" width="42.26953125" customWidth="1"/>
    <col min="2" max="2" width="9" customWidth="1"/>
    <col min="3" max="5" width="7.36328125" customWidth="1"/>
    <col min="6" max="7" width="7.36328125" style="598" customWidth="1"/>
    <col min="8" max="8" width="7.36328125" customWidth="1"/>
    <col min="9" max="9" width="7.6328125" customWidth="1"/>
    <col min="10" max="12" width="8" customWidth="1"/>
    <col min="14" max="14" width="8" customWidth="1"/>
    <col min="15" max="15" width="7" customWidth="1"/>
  </cols>
  <sheetData>
    <row r="1" spans="1:16" s="31" customFormat="1" ht="14.5" thickBot="1" x14ac:dyDescent="0.35">
      <c r="A1" s="19" t="s">
        <v>287</v>
      </c>
      <c r="B1" s="49"/>
      <c r="C1" s="49"/>
      <c r="D1" s="49"/>
      <c r="E1" s="49"/>
      <c r="F1" s="601"/>
      <c r="G1" s="601"/>
      <c r="H1" s="49"/>
      <c r="I1" s="49"/>
      <c r="J1" s="49"/>
      <c r="K1" s="49"/>
      <c r="L1" s="49"/>
    </row>
    <row r="2" spans="1:16" ht="13" thickBot="1" x14ac:dyDescent="0.3">
      <c r="A2" s="94"/>
      <c r="B2" s="95"/>
      <c r="C2" s="1233" t="s">
        <v>16</v>
      </c>
      <c r="D2" s="1231"/>
      <c r="E2" s="1231"/>
      <c r="F2" s="1231"/>
      <c r="G2" s="1231"/>
      <c r="H2" s="1231"/>
      <c r="I2" s="1231"/>
      <c r="J2" s="1230" t="s">
        <v>17</v>
      </c>
      <c r="K2" s="1231"/>
      <c r="L2" s="1232"/>
    </row>
    <row r="3" spans="1:16" ht="86.25" customHeight="1" x14ac:dyDescent="0.3">
      <c r="A3" s="96"/>
      <c r="B3" s="38" t="s">
        <v>89</v>
      </c>
      <c r="C3" s="301" t="s">
        <v>28</v>
      </c>
      <c r="D3" s="452" t="s">
        <v>27</v>
      </c>
      <c r="E3" s="342" t="s">
        <v>33</v>
      </c>
      <c r="F3" s="301" t="s">
        <v>53</v>
      </c>
      <c r="G3" s="301" t="s">
        <v>76</v>
      </c>
      <c r="H3" s="301" t="s">
        <v>79</v>
      </c>
      <c r="I3" s="301" t="s">
        <v>163</v>
      </c>
      <c r="J3" s="378" t="s">
        <v>29</v>
      </c>
      <c r="K3" s="301" t="s">
        <v>54</v>
      </c>
      <c r="L3" s="380" t="s">
        <v>57</v>
      </c>
    </row>
    <row r="4" spans="1:16" ht="15.65" customHeight="1" x14ac:dyDescent="0.25">
      <c r="A4" s="148" t="s">
        <v>269</v>
      </c>
      <c r="B4" s="671"/>
      <c r="C4" s="302" t="s">
        <v>4</v>
      </c>
      <c r="D4" s="453" t="s">
        <v>1</v>
      </c>
      <c r="E4" s="343" t="s">
        <v>1</v>
      </c>
      <c r="F4" s="302" t="s">
        <v>1</v>
      </c>
      <c r="G4" s="302" t="s">
        <v>1</v>
      </c>
      <c r="H4" s="302" t="s">
        <v>1</v>
      </c>
      <c r="I4" s="382" t="s">
        <v>2</v>
      </c>
      <c r="J4" s="379" t="s">
        <v>1</v>
      </c>
      <c r="K4" s="453" t="s">
        <v>1</v>
      </c>
      <c r="L4" s="381" t="s">
        <v>1</v>
      </c>
      <c r="O4" s="7"/>
    </row>
    <row r="5" spans="1:16" ht="13" x14ac:dyDescent="0.25">
      <c r="A5" s="125" t="s">
        <v>10</v>
      </c>
      <c r="B5" s="672"/>
      <c r="C5" s="673"/>
      <c r="D5" s="673"/>
      <c r="E5" s="673"/>
      <c r="F5" s="673"/>
      <c r="G5" s="673"/>
      <c r="H5" s="673"/>
      <c r="I5" s="673"/>
      <c r="J5" s="674"/>
      <c r="K5" s="673"/>
      <c r="L5" s="675"/>
      <c r="O5" s="7"/>
    </row>
    <row r="6" spans="1:16" ht="17.25" customHeight="1" x14ac:dyDescent="0.25">
      <c r="A6" s="293" t="s">
        <v>199</v>
      </c>
      <c r="B6" s="128">
        <v>100</v>
      </c>
      <c r="C6" s="692">
        <v>104</v>
      </c>
      <c r="D6" s="693">
        <v>99</v>
      </c>
      <c r="E6" s="694">
        <v>101</v>
      </c>
      <c r="F6" s="692">
        <v>97</v>
      </c>
      <c r="G6" s="692">
        <v>101</v>
      </c>
      <c r="H6" s="692">
        <v>99</v>
      </c>
      <c r="I6" s="692">
        <v>102</v>
      </c>
      <c r="J6" s="695">
        <v>99</v>
      </c>
      <c r="K6" s="546">
        <v>102</v>
      </c>
      <c r="L6" s="696">
        <v>101</v>
      </c>
      <c r="M6" s="13"/>
    </row>
    <row r="7" spans="1:16" ht="17.25" customHeight="1" x14ac:dyDescent="0.25">
      <c r="A7" s="291" t="s">
        <v>198</v>
      </c>
      <c r="B7" s="78">
        <v>100</v>
      </c>
      <c r="C7" s="697">
        <v>97</v>
      </c>
      <c r="D7" s="536">
        <v>97</v>
      </c>
      <c r="E7" s="60">
        <v>100</v>
      </c>
      <c r="F7" s="697">
        <v>98</v>
      </c>
      <c r="G7" s="697">
        <v>98</v>
      </c>
      <c r="H7" s="697">
        <v>99</v>
      </c>
      <c r="I7" s="697">
        <v>104</v>
      </c>
      <c r="J7" s="698">
        <v>99</v>
      </c>
      <c r="K7" s="697">
        <v>101</v>
      </c>
      <c r="L7" s="699">
        <v>102</v>
      </c>
      <c r="M7" s="13"/>
      <c r="N7" s="13"/>
    </row>
    <row r="8" spans="1:16" ht="17.25" customHeight="1" x14ac:dyDescent="0.25">
      <c r="A8" s="291" t="s">
        <v>197</v>
      </c>
      <c r="B8" s="133">
        <v>100</v>
      </c>
      <c r="C8" s="697">
        <v>85</v>
      </c>
      <c r="D8" s="536">
        <v>96</v>
      </c>
      <c r="E8" s="60">
        <v>101</v>
      </c>
      <c r="F8" s="697">
        <v>98</v>
      </c>
      <c r="G8" s="697">
        <v>100</v>
      </c>
      <c r="H8" s="697">
        <v>103</v>
      </c>
      <c r="I8" s="697">
        <v>108</v>
      </c>
      <c r="J8" s="698">
        <v>97</v>
      </c>
      <c r="K8" s="697">
        <v>100</v>
      </c>
      <c r="L8" s="699">
        <v>102</v>
      </c>
      <c r="M8" s="13"/>
      <c r="N8" s="13"/>
    </row>
    <row r="9" spans="1:16" ht="17.25" customHeight="1" x14ac:dyDescent="0.25">
      <c r="A9" s="287" t="s">
        <v>200</v>
      </c>
      <c r="B9" s="133">
        <v>100</v>
      </c>
      <c r="C9" s="697">
        <v>96.347826086956516</v>
      </c>
      <c r="D9" s="697">
        <v>97.5</v>
      </c>
      <c r="E9" s="697">
        <v>100.67391304347827</v>
      </c>
      <c r="F9" s="697">
        <v>97.608695652173907</v>
      </c>
      <c r="G9" s="697">
        <v>99.785714285714292</v>
      </c>
      <c r="H9" s="697">
        <v>100.08108108108108</v>
      </c>
      <c r="I9" s="697">
        <v>104.28571428571429</v>
      </c>
      <c r="J9" s="697">
        <v>98.434782608695656</v>
      </c>
      <c r="K9" s="697">
        <v>101.10869565217391</v>
      </c>
      <c r="L9" s="699">
        <v>101.60869565217391</v>
      </c>
      <c r="M9" s="13"/>
      <c r="N9" s="13"/>
    </row>
    <row r="10" spans="1:16" ht="17.25" customHeight="1" x14ac:dyDescent="0.25">
      <c r="A10" s="124" t="s">
        <v>290</v>
      </c>
      <c r="B10" s="676"/>
      <c r="C10" s="700"/>
      <c r="D10" s="700"/>
      <c r="E10" s="700"/>
      <c r="F10" s="700"/>
      <c r="G10" s="700"/>
      <c r="H10" s="700"/>
      <c r="I10" s="700"/>
      <c r="J10" s="701"/>
      <c r="K10" s="700"/>
      <c r="L10" s="702"/>
      <c r="M10" s="13"/>
      <c r="N10" s="13"/>
    </row>
    <row r="11" spans="1:16" ht="17.25" customHeight="1" x14ac:dyDescent="0.25">
      <c r="A11" s="376" t="s">
        <v>289</v>
      </c>
      <c r="B11" s="56">
        <v>17.71</v>
      </c>
      <c r="C11" s="703">
        <v>17.079999999999998</v>
      </c>
      <c r="D11" s="704">
        <v>17.57</v>
      </c>
      <c r="E11" s="705">
        <v>17.010000000000002</v>
      </c>
      <c r="F11" s="703">
        <v>18.260000000000002</v>
      </c>
      <c r="G11" s="703">
        <v>17.760000000000002</v>
      </c>
      <c r="H11" s="703">
        <v>17.059999999999999</v>
      </c>
      <c r="I11" s="703">
        <v>16.559999999999999</v>
      </c>
      <c r="J11" s="706">
        <v>18.13</v>
      </c>
      <c r="K11" s="703">
        <v>17.79</v>
      </c>
      <c r="L11" s="707">
        <v>18.03</v>
      </c>
      <c r="M11" s="13"/>
      <c r="N11" s="566"/>
      <c r="O11" s="567"/>
      <c r="P11" s="568"/>
    </row>
    <row r="12" spans="1:16" ht="17.25" customHeight="1" x14ac:dyDescent="0.25">
      <c r="A12" s="362" t="s">
        <v>291</v>
      </c>
      <c r="B12" s="58">
        <v>18.98</v>
      </c>
      <c r="C12" s="708">
        <v>18.579999999999998</v>
      </c>
      <c r="D12" s="709">
        <v>19.14</v>
      </c>
      <c r="E12" s="747">
        <v>18.010000000000002</v>
      </c>
      <c r="F12" s="709">
        <v>19.329999999999998</v>
      </c>
      <c r="G12" s="708">
        <v>18.84</v>
      </c>
      <c r="H12" s="708">
        <v>17.93</v>
      </c>
      <c r="I12" s="748">
        <v>17.64</v>
      </c>
      <c r="J12" s="710">
        <v>19.329999999999998</v>
      </c>
      <c r="K12" s="708">
        <v>19.72</v>
      </c>
      <c r="L12" s="711">
        <v>19.54</v>
      </c>
      <c r="M12" s="13"/>
      <c r="N12" s="566"/>
      <c r="O12" s="567"/>
      <c r="P12" s="568"/>
    </row>
    <row r="13" spans="1:16" ht="16.5" customHeight="1" x14ac:dyDescent="0.25">
      <c r="A13" s="362" t="s">
        <v>292</v>
      </c>
      <c r="B13" s="99">
        <v>19.36</v>
      </c>
      <c r="C13" s="712">
        <v>18.809999999999999</v>
      </c>
      <c r="D13" s="713">
        <v>19.2</v>
      </c>
      <c r="E13" s="747">
        <v>18.48</v>
      </c>
      <c r="F13" s="713">
        <v>19.95</v>
      </c>
      <c r="G13" s="712">
        <v>19.39</v>
      </c>
      <c r="H13" s="712">
        <v>18.47</v>
      </c>
      <c r="I13" s="563">
        <v>18.71</v>
      </c>
      <c r="J13" s="714">
        <v>19.690000000000001</v>
      </c>
      <c r="K13" s="712">
        <v>19.73</v>
      </c>
      <c r="L13" s="715">
        <v>19.850000000000001</v>
      </c>
      <c r="M13" s="13"/>
      <c r="N13" s="566"/>
      <c r="O13" s="567"/>
      <c r="P13" s="568"/>
    </row>
    <row r="14" spans="1:16" ht="17.25" customHeight="1" x14ac:dyDescent="0.25">
      <c r="A14" s="124" t="s">
        <v>11</v>
      </c>
      <c r="B14" s="676"/>
      <c r="C14" s="625"/>
      <c r="D14" s="716"/>
      <c r="E14" s="625"/>
      <c r="F14" s="625"/>
      <c r="G14" s="700"/>
      <c r="H14" s="700"/>
      <c r="I14" s="700"/>
      <c r="J14" s="701"/>
      <c r="K14" s="625"/>
      <c r="L14" s="702"/>
      <c r="M14" s="13"/>
      <c r="N14" s="566"/>
      <c r="O14" s="567"/>
      <c r="P14" s="568"/>
    </row>
    <row r="15" spans="1:16" ht="17.25" customHeight="1" x14ac:dyDescent="0.25">
      <c r="A15" s="1179" t="s">
        <v>293</v>
      </c>
      <c r="B15" s="139">
        <v>69.099999999999994</v>
      </c>
      <c r="C15" s="717">
        <v>69.099999999999994</v>
      </c>
      <c r="D15" s="546">
        <v>69.5</v>
      </c>
      <c r="E15" s="59">
        <v>67.7</v>
      </c>
      <c r="F15" s="717">
        <v>71.5</v>
      </c>
      <c r="G15" s="717">
        <v>66.900000000000006</v>
      </c>
      <c r="H15" s="717">
        <v>65.900000000000006</v>
      </c>
      <c r="I15" s="717">
        <v>70.2</v>
      </c>
      <c r="J15" s="718">
        <v>70.5</v>
      </c>
      <c r="K15" s="717">
        <v>68.7</v>
      </c>
      <c r="L15" s="719">
        <v>70</v>
      </c>
      <c r="M15" s="13"/>
      <c r="N15" s="570"/>
      <c r="O15" s="66"/>
      <c r="P15" s="568"/>
    </row>
    <row r="16" spans="1:16" ht="17.25" customHeight="1" x14ac:dyDescent="0.25">
      <c r="A16" s="1179" t="s">
        <v>294</v>
      </c>
      <c r="B16" s="133">
        <v>61.2</v>
      </c>
      <c r="C16" s="720">
        <v>52.4</v>
      </c>
      <c r="D16" s="322">
        <v>61.7</v>
      </c>
      <c r="E16" s="539">
        <v>58.7</v>
      </c>
      <c r="F16" s="720">
        <v>66.099999999999994</v>
      </c>
      <c r="G16" s="720">
        <v>60.5</v>
      </c>
      <c r="H16" s="720">
        <v>59.8</v>
      </c>
      <c r="I16" s="720">
        <v>62.9</v>
      </c>
      <c r="J16" s="721">
        <v>60.4</v>
      </c>
      <c r="K16" s="720">
        <v>60.8</v>
      </c>
      <c r="L16" s="722">
        <v>61.5</v>
      </c>
      <c r="M16" s="13"/>
      <c r="N16" s="570"/>
      <c r="O16" s="66"/>
      <c r="P16" s="568"/>
    </row>
    <row r="17" spans="1:16" ht="17.25" customHeight="1" x14ac:dyDescent="0.25">
      <c r="A17" s="1179" t="s">
        <v>280</v>
      </c>
      <c r="B17" s="133">
        <v>47.6</v>
      </c>
      <c r="C17" s="720">
        <v>36.4</v>
      </c>
      <c r="D17" s="322">
        <v>48</v>
      </c>
      <c r="E17" s="539">
        <v>45.8</v>
      </c>
      <c r="F17" s="720">
        <v>55</v>
      </c>
      <c r="G17" s="720">
        <v>46.5</v>
      </c>
      <c r="H17" s="720">
        <v>46</v>
      </c>
      <c r="I17" s="720">
        <v>50.3</v>
      </c>
      <c r="J17" s="721">
        <v>44.6</v>
      </c>
      <c r="K17" s="720">
        <v>47.1</v>
      </c>
      <c r="L17" s="722">
        <v>46.9</v>
      </c>
      <c r="M17" s="13"/>
      <c r="N17" s="570"/>
      <c r="O17" s="66"/>
      <c r="P17" s="568"/>
    </row>
    <row r="18" spans="1:16" ht="15.65" customHeight="1" thickBot="1" x14ac:dyDescent="0.3">
      <c r="A18" s="125" t="s">
        <v>288</v>
      </c>
      <c r="B18" s="677"/>
      <c r="C18" s="678"/>
      <c r="D18" s="678"/>
      <c r="E18" s="678"/>
      <c r="F18" s="678"/>
      <c r="G18" s="678"/>
      <c r="H18" s="678"/>
      <c r="I18" s="679"/>
      <c r="J18" s="680"/>
      <c r="K18" s="678"/>
      <c r="L18" s="681"/>
      <c r="N18" s="13"/>
      <c r="O18" s="569"/>
      <c r="P18" s="568"/>
    </row>
    <row r="19" spans="1:16" ht="15.75" customHeight="1" x14ac:dyDescent="0.25">
      <c r="A19" s="565" t="s">
        <v>19</v>
      </c>
      <c r="B19" s="682"/>
      <c r="C19" s="723"/>
      <c r="D19" s="723"/>
      <c r="E19" s="723"/>
      <c r="F19" s="723"/>
      <c r="G19" s="723"/>
      <c r="H19" s="723"/>
      <c r="I19" s="723"/>
      <c r="J19" s="724"/>
      <c r="K19" s="723"/>
      <c r="L19" s="725"/>
      <c r="M19" s="13"/>
      <c r="N19" s="13"/>
    </row>
    <row r="20" spans="1:16" ht="17.25" customHeight="1" x14ac:dyDescent="0.25">
      <c r="A20" s="292" t="s">
        <v>295</v>
      </c>
      <c r="B20" s="136">
        <v>100</v>
      </c>
      <c r="C20" s="692">
        <v>107</v>
      </c>
      <c r="D20" s="693">
        <v>102</v>
      </c>
      <c r="E20" s="694">
        <v>98</v>
      </c>
      <c r="F20" s="692">
        <v>100</v>
      </c>
      <c r="G20" s="692">
        <v>105</v>
      </c>
      <c r="H20" s="692">
        <v>94</v>
      </c>
      <c r="I20" s="692">
        <v>104</v>
      </c>
      <c r="J20" s="726">
        <v>101</v>
      </c>
      <c r="K20" s="692">
        <v>105</v>
      </c>
      <c r="L20" s="727">
        <v>102</v>
      </c>
      <c r="M20" s="13"/>
      <c r="N20" s="13"/>
    </row>
    <row r="21" spans="1:16" ht="17.25" customHeight="1" x14ac:dyDescent="0.25">
      <c r="A21" s="367" t="s">
        <v>296</v>
      </c>
      <c r="B21" s="191">
        <v>100</v>
      </c>
      <c r="C21" s="398">
        <v>103.42330133634481</v>
      </c>
      <c r="D21" s="728">
        <v>101.47713156408808</v>
      </c>
      <c r="E21" s="728">
        <v>94.035008469791094</v>
      </c>
      <c r="F21" s="728">
        <v>103.69476486246674</v>
      </c>
      <c r="G21" s="728">
        <v>105.63071710897798</v>
      </c>
      <c r="H21" s="398">
        <v>90.274743889650708</v>
      </c>
      <c r="I21" s="398">
        <v>97.424860853432278</v>
      </c>
      <c r="J21" s="729">
        <v>103.34650856389986</v>
      </c>
      <c r="K21" s="398">
        <v>105.04380091957732</v>
      </c>
      <c r="L21" s="730">
        <v>104.32782124707592</v>
      </c>
      <c r="M21" s="13"/>
      <c r="N21" s="13"/>
    </row>
    <row r="22" spans="1:16" ht="17.25" customHeight="1" x14ac:dyDescent="0.25">
      <c r="A22" s="126" t="s">
        <v>20</v>
      </c>
      <c r="B22" s="683"/>
      <c r="C22" s="684"/>
      <c r="D22" s="731"/>
      <c r="E22" s="732"/>
      <c r="F22" s="731"/>
      <c r="G22" s="684"/>
      <c r="H22" s="684"/>
      <c r="I22" s="684"/>
      <c r="J22" s="733"/>
      <c r="K22" s="684"/>
      <c r="L22" s="734"/>
      <c r="M22" s="13"/>
      <c r="N22" s="13"/>
    </row>
    <row r="23" spans="1:16" ht="17.25" customHeight="1" x14ac:dyDescent="0.25">
      <c r="A23" s="363" t="s">
        <v>297</v>
      </c>
      <c r="B23" s="361">
        <v>100</v>
      </c>
      <c r="C23" s="399">
        <v>97</v>
      </c>
      <c r="D23" s="735">
        <v>92</v>
      </c>
      <c r="E23" s="736">
        <v>102</v>
      </c>
      <c r="F23" s="735">
        <v>96</v>
      </c>
      <c r="G23" s="399">
        <v>97</v>
      </c>
      <c r="H23" s="399">
        <v>101</v>
      </c>
      <c r="I23" s="400">
        <v>101</v>
      </c>
      <c r="J23" s="737">
        <v>100</v>
      </c>
      <c r="K23" s="399">
        <v>100</v>
      </c>
      <c r="L23" s="738">
        <v>101</v>
      </c>
      <c r="M23" s="13"/>
      <c r="N23" s="13"/>
    </row>
    <row r="24" spans="1:16" ht="17.25" customHeight="1" x14ac:dyDescent="0.25">
      <c r="A24" s="356" t="s">
        <v>298</v>
      </c>
      <c r="B24" s="133">
        <v>100</v>
      </c>
      <c r="C24" s="720">
        <v>94.809289513204945</v>
      </c>
      <c r="D24" s="322">
        <v>92.902599503829151</v>
      </c>
      <c r="E24" s="539">
        <v>97.130838097292653</v>
      </c>
      <c r="F24" s="322">
        <v>97.299823823391932</v>
      </c>
      <c r="G24" s="720">
        <v>95.875476050214488</v>
      </c>
      <c r="H24" s="720">
        <v>95.707596613647723</v>
      </c>
      <c r="I24" s="401">
        <v>93.671747301344979</v>
      </c>
      <c r="J24" s="721">
        <v>101.57673915628827</v>
      </c>
      <c r="K24" s="720">
        <v>104.17154125491952</v>
      </c>
      <c r="L24" s="722">
        <v>103.49089662000893</v>
      </c>
      <c r="M24" s="13"/>
      <c r="N24" s="13"/>
    </row>
    <row r="25" spans="1:16" ht="16.5" customHeight="1" x14ac:dyDescent="0.25">
      <c r="A25" s="126" t="s">
        <v>21</v>
      </c>
      <c r="B25" s="687"/>
      <c r="C25" s="684"/>
      <c r="D25" s="731"/>
      <c r="E25" s="732"/>
      <c r="F25" s="731"/>
      <c r="G25" s="684"/>
      <c r="H25" s="684"/>
      <c r="I25" s="684"/>
      <c r="J25" s="733"/>
      <c r="K25" s="684"/>
      <c r="L25" s="734"/>
      <c r="M25" s="13"/>
      <c r="N25" s="13"/>
    </row>
    <row r="26" spans="1:16" ht="16.5" customHeight="1" x14ac:dyDescent="0.25">
      <c r="A26" s="364" t="s">
        <v>299</v>
      </c>
      <c r="B26" s="139">
        <v>100</v>
      </c>
      <c r="C26" s="717">
        <v>87</v>
      </c>
      <c r="D26" s="546">
        <v>92</v>
      </c>
      <c r="E26" s="59">
        <v>103</v>
      </c>
      <c r="F26" s="546">
        <v>95</v>
      </c>
      <c r="G26" s="402">
        <v>92</v>
      </c>
      <c r="H26" s="717">
        <v>104</v>
      </c>
      <c r="I26" s="402">
        <v>103</v>
      </c>
      <c r="J26" s="718">
        <v>100</v>
      </c>
      <c r="K26" s="717">
        <v>98</v>
      </c>
      <c r="L26" s="719">
        <v>101</v>
      </c>
      <c r="M26" s="13"/>
      <c r="N26" s="13"/>
    </row>
    <row r="27" spans="1:16" ht="16.5" customHeight="1" x14ac:dyDescent="0.25">
      <c r="A27" s="356" t="s">
        <v>300</v>
      </c>
      <c r="B27" s="133">
        <v>100</v>
      </c>
      <c r="C27" s="720">
        <v>84.671558848674806</v>
      </c>
      <c r="D27" s="322">
        <v>91.090442757584398</v>
      </c>
      <c r="E27" s="539">
        <v>98.147620404673674</v>
      </c>
      <c r="F27" s="322">
        <v>98.202025959221729</v>
      </c>
      <c r="G27" s="401">
        <v>91.991858597372982</v>
      </c>
      <c r="H27" s="720">
        <v>98.991716106634868</v>
      </c>
      <c r="I27" s="401">
        <v>99.066199901551855</v>
      </c>
      <c r="J27" s="721">
        <v>101.38572242804219</v>
      </c>
      <c r="K27" s="720">
        <v>100.31380346641106</v>
      </c>
      <c r="L27" s="722">
        <v>103.49523303712532</v>
      </c>
      <c r="M27" s="13"/>
      <c r="N27" s="13"/>
    </row>
    <row r="28" spans="1:16" ht="8.25" customHeight="1" x14ac:dyDescent="0.25">
      <c r="A28" s="688"/>
      <c r="B28" s="687"/>
      <c r="C28" s="739"/>
      <c r="D28" s="731"/>
      <c r="E28" s="739"/>
      <c r="F28" s="739"/>
      <c r="G28" s="739"/>
      <c r="H28" s="739"/>
      <c r="I28" s="739"/>
      <c r="J28" s="740"/>
      <c r="K28" s="739"/>
      <c r="L28" s="741"/>
      <c r="M28" s="13"/>
      <c r="N28" s="13"/>
    </row>
    <row r="29" spans="1:16" s="13" customFormat="1" ht="17.25" customHeight="1" x14ac:dyDescent="0.25">
      <c r="A29" s="40" t="s">
        <v>285</v>
      </c>
      <c r="B29" s="689"/>
      <c r="C29" s="382">
        <v>1980</v>
      </c>
      <c r="D29" s="341">
        <v>2003</v>
      </c>
      <c r="E29" s="345">
        <v>2010</v>
      </c>
      <c r="F29" s="370">
        <v>2012</v>
      </c>
      <c r="G29" s="370">
        <v>2018</v>
      </c>
      <c r="H29" s="370">
        <v>2018</v>
      </c>
      <c r="I29" s="370">
        <v>2022</v>
      </c>
      <c r="J29" s="377">
        <v>2005</v>
      </c>
      <c r="K29" s="432">
        <v>2011</v>
      </c>
      <c r="L29" s="555">
        <v>2014</v>
      </c>
    </row>
    <row r="30" spans="1:16" s="13" customFormat="1" ht="51" customHeight="1" x14ac:dyDescent="0.25">
      <c r="A30" s="40" t="s">
        <v>367</v>
      </c>
      <c r="B30" s="689"/>
      <c r="C30" s="1206" t="s">
        <v>392</v>
      </c>
      <c r="D30" s="1206" t="s">
        <v>392</v>
      </c>
      <c r="E30" s="1207" t="s">
        <v>371</v>
      </c>
      <c r="F30" s="1207" t="s">
        <v>404</v>
      </c>
      <c r="G30" s="1207" t="s">
        <v>379</v>
      </c>
      <c r="H30" s="1207" t="s">
        <v>369</v>
      </c>
      <c r="I30" s="1207" t="s">
        <v>379</v>
      </c>
      <c r="J30" s="1213" t="s">
        <v>405</v>
      </c>
      <c r="K30" s="1207" t="s">
        <v>404</v>
      </c>
      <c r="L30" s="1214" t="s">
        <v>404</v>
      </c>
    </row>
    <row r="31" spans="1:16" s="13" customFormat="1" ht="35" customHeight="1" x14ac:dyDescent="0.25">
      <c r="A31" s="40" t="s">
        <v>384</v>
      </c>
      <c r="B31" s="689"/>
      <c r="C31" s="1206" t="s">
        <v>386</v>
      </c>
      <c r="D31" s="1206" t="s">
        <v>396</v>
      </c>
      <c r="E31" s="1207" t="s">
        <v>376</v>
      </c>
      <c r="F31" s="1207" t="s">
        <v>381</v>
      </c>
      <c r="G31" s="1207" t="s">
        <v>374</v>
      </c>
      <c r="H31" s="1207" t="s">
        <v>385</v>
      </c>
      <c r="I31" s="1206" t="s">
        <v>386</v>
      </c>
      <c r="J31" s="1213" t="s">
        <v>374</v>
      </c>
      <c r="K31" s="1207" t="s">
        <v>381</v>
      </c>
      <c r="L31" s="1213" t="s">
        <v>374</v>
      </c>
    </row>
    <row r="32" spans="1:16" ht="17.25" customHeight="1" x14ac:dyDescent="0.25">
      <c r="A32" s="108" t="s">
        <v>6</v>
      </c>
      <c r="B32" s="687"/>
      <c r="C32" s="739"/>
      <c r="D32" s="739"/>
      <c r="E32" s="739"/>
      <c r="F32" s="739"/>
      <c r="G32" s="739"/>
      <c r="H32" s="739"/>
      <c r="I32" s="739"/>
      <c r="J32" s="740"/>
      <c r="K32" s="739"/>
      <c r="L32" s="741"/>
      <c r="M32" s="13"/>
      <c r="N32" s="13"/>
    </row>
    <row r="33" spans="1:14" ht="17.25" customHeight="1" x14ac:dyDescent="0.25">
      <c r="A33" s="117" t="s">
        <v>19</v>
      </c>
      <c r="B33" s="690"/>
      <c r="C33" s="692">
        <v>18</v>
      </c>
      <c r="D33" s="693">
        <v>18</v>
      </c>
      <c r="E33" s="694">
        <v>18</v>
      </c>
      <c r="F33" s="692">
        <v>18</v>
      </c>
      <c r="G33" s="692">
        <v>12</v>
      </c>
      <c r="H33" s="692">
        <v>15</v>
      </c>
      <c r="I33" s="692">
        <v>9</v>
      </c>
      <c r="J33" s="726">
        <v>18</v>
      </c>
      <c r="K33" s="692">
        <v>18</v>
      </c>
      <c r="L33" s="727">
        <v>18</v>
      </c>
      <c r="M33" s="13"/>
      <c r="N33" s="140"/>
    </row>
    <row r="34" spans="1:14" ht="17.25" customHeight="1" x14ac:dyDescent="0.25">
      <c r="A34" s="127" t="s">
        <v>20</v>
      </c>
      <c r="B34" s="691"/>
      <c r="C34" s="742">
        <v>15</v>
      </c>
      <c r="D34" s="743">
        <v>15</v>
      </c>
      <c r="E34" s="580">
        <v>15</v>
      </c>
      <c r="F34" s="742">
        <v>15</v>
      </c>
      <c r="G34" s="742">
        <v>9</v>
      </c>
      <c r="H34" s="742">
        <v>12</v>
      </c>
      <c r="I34" s="742">
        <v>6</v>
      </c>
      <c r="J34" s="744">
        <v>15</v>
      </c>
      <c r="K34" s="742">
        <v>15</v>
      </c>
      <c r="L34" s="745">
        <v>15</v>
      </c>
      <c r="M34" s="13"/>
      <c r="N34" s="142"/>
    </row>
    <row r="35" spans="1:14" ht="17.25" customHeight="1" thickBot="1" x14ac:dyDescent="0.3">
      <c r="A35" s="127" t="s">
        <v>21</v>
      </c>
      <c r="B35" s="691"/>
      <c r="C35" s="742">
        <v>13</v>
      </c>
      <c r="D35" s="743">
        <v>13</v>
      </c>
      <c r="E35" s="580">
        <v>13</v>
      </c>
      <c r="F35" s="742">
        <v>13</v>
      </c>
      <c r="G35" s="742">
        <v>7</v>
      </c>
      <c r="H35" s="742">
        <v>10</v>
      </c>
      <c r="I35" s="742">
        <v>6</v>
      </c>
      <c r="J35" s="744">
        <v>13</v>
      </c>
      <c r="K35" s="742">
        <v>13</v>
      </c>
      <c r="L35" s="746">
        <v>13</v>
      </c>
      <c r="M35" s="13"/>
      <c r="N35" s="142"/>
    </row>
    <row r="36" spans="1:14" x14ac:dyDescent="0.25">
      <c r="A36" s="403"/>
      <c r="B36" s="564"/>
      <c r="C36" s="564"/>
      <c r="D36" s="564"/>
      <c r="E36" s="564"/>
      <c r="F36" s="602"/>
      <c r="G36" s="602"/>
      <c r="H36" s="564"/>
      <c r="I36" s="564"/>
      <c r="J36" s="564"/>
      <c r="K36" s="564"/>
      <c r="L36" s="564"/>
      <c r="M36" s="13"/>
      <c r="N36" s="13"/>
    </row>
  </sheetData>
  <mergeCells count="2">
    <mergeCell ref="J2:L2"/>
    <mergeCell ref="C2:I2"/>
  </mergeCells>
  <phoneticPr fontId="6" type="noConversion"/>
  <printOptions horizontalCentered="1"/>
  <pageMargins left="0.39370078740157483" right="0.39370078740157483" top="0.39370078740157483" bottom="0.39370078740157483" header="0.31496062992125984" footer="0.31496062992125984"/>
  <pageSetup paperSize="8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8">
    <pageSetUpPr fitToPage="1"/>
  </sheetPr>
  <dimension ref="A1:AL21"/>
  <sheetViews>
    <sheetView zoomScaleNormal="100" workbookViewId="0">
      <selection activeCell="B16" sqref="B16"/>
    </sheetView>
  </sheetViews>
  <sheetFormatPr defaultColWidth="8.81640625" defaultRowHeight="12.5" x14ac:dyDescent="0.25"/>
  <cols>
    <col min="1" max="1" width="40.7265625" customWidth="1"/>
    <col min="2" max="4" width="8.08984375" customWidth="1"/>
    <col min="8" max="9" width="10.08984375" bestFit="1" customWidth="1"/>
  </cols>
  <sheetData>
    <row r="1" spans="1:38" s="31" customFormat="1" ht="14.5" thickBot="1" x14ac:dyDescent="0.35">
      <c r="A1" s="19" t="s">
        <v>352</v>
      </c>
      <c r="B1" s="49"/>
      <c r="C1" s="49"/>
      <c r="D1" s="49"/>
    </row>
    <row r="2" spans="1:38" ht="69.75" customHeight="1" x14ac:dyDescent="0.3">
      <c r="A2" s="275"/>
      <c r="B2" s="550" t="s">
        <v>32</v>
      </c>
      <c r="C2" s="452" t="s">
        <v>187</v>
      </c>
      <c r="D2" s="380" t="s">
        <v>188</v>
      </c>
      <c r="G2" s="7"/>
      <c r="H2" s="7"/>
      <c r="I2" s="7"/>
    </row>
    <row r="3" spans="1:38" ht="14.5" customHeight="1" x14ac:dyDescent="0.3">
      <c r="A3" s="549" t="s">
        <v>185</v>
      </c>
      <c r="B3" s="551" t="s">
        <v>186</v>
      </c>
      <c r="C3" s="278" t="s">
        <v>186</v>
      </c>
      <c r="D3" s="455" t="s">
        <v>186</v>
      </c>
      <c r="G3" s="7"/>
      <c r="H3" s="7"/>
      <c r="I3" s="7"/>
    </row>
    <row r="4" spans="1:38" s="13" customFormat="1" ht="15.75" customHeight="1" x14ac:dyDescent="0.25">
      <c r="A4" s="162" t="s">
        <v>10</v>
      </c>
      <c r="B4" s="1100"/>
      <c r="C4" s="1101"/>
      <c r="D4" s="1102"/>
      <c r="F4" s="8"/>
      <c r="G4" s="159"/>
      <c r="H4" s="357"/>
      <c r="I4" s="357"/>
    </row>
    <row r="5" spans="1:38" s="13" customFormat="1" ht="15.75" customHeight="1" x14ac:dyDescent="0.25">
      <c r="A5" s="293" t="s">
        <v>192</v>
      </c>
      <c r="B5" s="498">
        <v>100</v>
      </c>
      <c r="C5" s="100">
        <v>105</v>
      </c>
      <c r="D5" s="468">
        <v>99</v>
      </c>
      <c r="F5" s="8"/>
      <c r="G5" s="260"/>
      <c r="I5" s="357"/>
    </row>
    <row r="6" spans="1:38" s="13" customFormat="1" ht="15.75" customHeight="1" x14ac:dyDescent="0.25">
      <c r="A6" s="291" t="s">
        <v>193</v>
      </c>
      <c r="B6" s="479">
        <v>100</v>
      </c>
      <c r="C6" s="52">
        <v>101</v>
      </c>
      <c r="D6" s="470">
        <v>96</v>
      </c>
    </row>
    <row r="7" spans="1:38" s="89" customFormat="1" ht="15.75" customHeight="1" x14ac:dyDescent="0.25">
      <c r="A7" s="287" t="s">
        <v>353</v>
      </c>
      <c r="B7" s="498">
        <v>100</v>
      </c>
      <c r="C7" s="100">
        <v>103</v>
      </c>
      <c r="D7" s="468">
        <v>97.5</v>
      </c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</row>
    <row r="8" spans="1:38" s="89" customFormat="1" ht="15.75" customHeight="1" x14ac:dyDescent="0.25">
      <c r="A8" s="125" t="s">
        <v>354</v>
      </c>
      <c r="B8" s="1100"/>
      <c r="C8" s="1101"/>
      <c r="D8" s="1102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</row>
    <row r="9" spans="1:38" s="89" customFormat="1" ht="15.75" customHeight="1" x14ac:dyDescent="0.25">
      <c r="A9" s="349" t="s">
        <v>355</v>
      </c>
      <c r="B9" s="498">
        <v>100</v>
      </c>
      <c r="C9" s="100">
        <v>107</v>
      </c>
      <c r="D9" s="468">
        <v>103</v>
      </c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</row>
    <row r="10" spans="1:38" s="89" customFormat="1" ht="15.75" customHeight="1" x14ac:dyDescent="0.25">
      <c r="A10" s="1185" t="s">
        <v>356</v>
      </c>
      <c r="B10" s="500">
        <v>18</v>
      </c>
      <c r="C10" s="407">
        <v>17.79</v>
      </c>
      <c r="D10" s="1098">
        <v>18.52</v>
      </c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</row>
    <row r="11" spans="1:38" s="89" customFormat="1" ht="15.75" customHeight="1" x14ac:dyDescent="0.25">
      <c r="A11" s="125" t="s">
        <v>11</v>
      </c>
      <c r="B11" s="1100"/>
      <c r="C11" s="1101"/>
      <c r="D11" s="1102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</row>
    <row r="12" spans="1:38" s="89" customFormat="1" ht="15.75" customHeight="1" x14ac:dyDescent="0.25">
      <c r="A12" s="1186" t="s">
        <v>293</v>
      </c>
      <c r="B12" s="498">
        <v>61</v>
      </c>
      <c r="C12" s="100">
        <v>62.6</v>
      </c>
      <c r="D12" s="468">
        <v>61</v>
      </c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</row>
    <row r="13" spans="1:38" s="13" customFormat="1" ht="15.75" customHeight="1" x14ac:dyDescent="0.25">
      <c r="A13" s="286" t="s">
        <v>294</v>
      </c>
      <c r="B13" s="499">
        <v>62.5</v>
      </c>
      <c r="C13" s="102">
        <v>61.3</v>
      </c>
      <c r="D13" s="405">
        <v>58.8</v>
      </c>
    </row>
    <row r="14" spans="1:38" s="13" customFormat="1" ht="8.25" customHeight="1" x14ac:dyDescent="0.25">
      <c r="A14" s="1103"/>
      <c r="B14" s="1104"/>
      <c r="C14" s="685"/>
      <c r="D14" s="686"/>
    </row>
    <row r="15" spans="1:38" s="13" customFormat="1" ht="15.75" customHeight="1" x14ac:dyDescent="0.25">
      <c r="A15" s="115" t="s">
        <v>285</v>
      </c>
      <c r="B15" s="552">
        <v>2003</v>
      </c>
      <c r="C15" s="432">
        <v>2024</v>
      </c>
      <c r="D15" s="1099">
        <v>2024</v>
      </c>
    </row>
    <row r="16" spans="1:38" s="13" customFormat="1" ht="45" customHeight="1" x14ac:dyDescent="0.25">
      <c r="A16" s="115" t="s">
        <v>367</v>
      </c>
      <c r="B16" s="1218" t="s">
        <v>379</v>
      </c>
      <c r="C16" s="1218" t="s">
        <v>379</v>
      </c>
      <c r="D16" s="1218" t="s">
        <v>379</v>
      </c>
    </row>
    <row r="17" spans="1:4" s="13" customFormat="1" ht="47" customHeight="1" x14ac:dyDescent="0.25">
      <c r="A17" s="115" t="s">
        <v>384</v>
      </c>
      <c r="B17" s="1218" t="s">
        <v>374</v>
      </c>
      <c r="C17" s="1218" t="s">
        <v>374</v>
      </c>
      <c r="D17" s="1218" t="s">
        <v>374</v>
      </c>
    </row>
    <row r="18" spans="1:4" s="13" customFormat="1" ht="15.75" customHeight="1" x14ac:dyDescent="0.25">
      <c r="A18" s="108" t="s">
        <v>6</v>
      </c>
      <c r="B18" s="553"/>
      <c r="C18" s="28"/>
      <c r="D18" s="669"/>
    </row>
    <row r="19" spans="1:4" s="13" customFormat="1" ht="15.75" customHeight="1" x14ac:dyDescent="0.25">
      <c r="A19" s="117" t="s">
        <v>19</v>
      </c>
      <c r="B19" s="498">
        <v>4</v>
      </c>
      <c r="C19" s="100">
        <v>2</v>
      </c>
      <c r="D19" s="468">
        <v>2</v>
      </c>
    </row>
    <row r="20" spans="1:4" s="13" customFormat="1" ht="15.75" customHeight="1" thickBot="1" x14ac:dyDescent="0.3">
      <c r="A20" s="276" t="s">
        <v>20</v>
      </c>
      <c r="B20" s="554">
        <v>4</v>
      </c>
      <c r="C20" s="433">
        <v>2</v>
      </c>
      <c r="D20" s="670">
        <v>2</v>
      </c>
    </row>
    <row r="21" spans="1:4" x14ac:dyDescent="0.25">
      <c r="A21" s="403"/>
      <c r="B21" s="404"/>
      <c r="C21" s="404"/>
      <c r="D21" s="404"/>
    </row>
  </sheetData>
  <phoneticPr fontId="6" type="noConversion"/>
  <printOptions horizontalCentered="1" verticalCentered="1"/>
  <pageMargins left="0.6692913385826772" right="0.19685039370078741" top="0.43307086614173229" bottom="0.27559055118110237" header="0.19685039370078741" footer="0.15748031496062992"/>
  <pageSetup paperSize="9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9">
    <pageSetUpPr fitToPage="1"/>
  </sheetPr>
  <dimension ref="A1:AG37"/>
  <sheetViews>
    <sheetView topLeftCell="A16" zoomScale="130" zoomScaleNormal="130" workbookViewId="0">
      <selection activeCell="H33" sqref="H33"/>
    </sheetView>
  </sheetViews>
  <sheetFormatPr defaultColWidth="8.81640625" defaultRowHeight="12.5" x14ac:dyDescent="0.25"/>
  <cols>
    <col min="1" max="1" width="49.6328125" customWidth="1"/>
    <col min="2" max="2" width="9.08984375" customWidth="1"/>
    <col min="6" max="33" width="9.08984375" customWidth="1"/>
  </cols>
  <sheetData>
    <row r="1" spans="1:33" s="31" customFormat="1" ht="14.5" thickBot="1" x14ac:dyDescent="0.35">
      <c r="A1" s="19" t="s">
        <v>357</v>
      </c>
      <c r="B1" s="269"/>
      <c r="C1" s="269"/>
      <c r="D1" s="269"/>
    </row>
    <row r="2" spans="1:33" ht="72.75" customHeight="1" x14ac:dyDescent="0.25">
      <c r="A2" s="63"/>
      <c r="B2" s="27" t="s">
        <v>146</v>
      </c>
      <c r="C2" s="4" t="s">
        <v>30</v>
      </c>
      <c r="D2" s="4" t="s">
        <v>31</v>
      </c>
      <c r="E2" s="380" t="s">
        <v>204</v>
      </c>
    </row>
    <row r="3" spans="1:33" ht="14.5" customHeight="1" x14ac:dyDescent="0.3">
      <c r="A3" s="549" t="s">
        <v>185</v>
      </c>
      <c r="B3" s="1119"/>
      <c r="C3" s="338" t="s">
        <v>186</v>
      </c>
      <c r="D3" s="338" t="s">
        <v>186</v>
      </c>
      <c r="E3" s="383" t="s">
        <v>186</v>
      </c>
    </row>
    <row r="4" spans="1:33" s="13" customFormat="1" ht="15" customHeight="1" x14ac:dyDescent="0.3">
      <c r="A4" s="108" t="s">
        <v>202</v>
      </c>
      <c r="B4" s="796"/>
      <c r="C4" s="1114"/>
      <c r="D4" s="1114"/>
      <c r="E4" s="1118"/>
      <c r="F4"/>
      <c r="G4"/>
      <c r="H4"/>
      <c r="I4"/>
      <c r="J4" s="48"/>
    </row>
    <row r="5" spans="1:33" s="271" customFormat="1" ht="17.25" customHeight="1" x14ac:dyDescent="0.25">
      <c r="A5" s="280" t="s">
        <v>209</v>
      </c>
      <c r="B5" s="62">
        <v>100</v>
      </c>
      <c r="C5" s="16">
        <v>97</v>
      </c>
      <c r="D5" s="16">
        <v>97</v>
      </c>
      <c r="E5" s="389">
        <v>106</v>
      </c>
      <c r="F5"/>
      <c r="G5"/>
      <c r="H5"/>
      <c r="I5"/>
      <c r="J5" s="578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</row>
    <row r="6" spans="1:33" ht="17.25" customHeight="1" x14ac:dyDescent="0.25">
      <c r="A6" s="64" t="s">
        <v>40</v>
      </c>
      <c r="B6" s="17">
        <f>65+2.1</f>
        <v>67.099999999999994</v>
      </c>
      <c r="C6" s="18">
        <f>65+1.5</f>
        <v>66.5</v>
      </c>
      <c r="D6" s="18">
        <f>65+2</f>
        <v>67</v>
      </c>
      <c r="E6" s="390">
        <f>65+2.9</f>
        <v>67.900000000000006</v>
      </c>
    </row>
    <row r="7" spans="1:33" s="270" customFormat="1" ht="17.25" customHeight="1" x14ac:dyDescent="0.25">
      <c r="A7" s="281" t="s">
        <v>323</v>
      </c>
      <c r="B7" s="41">
        <v>72.2</v>
      </c>
      <c r="C7" s="10">
        <v>75</v>
      </c>
      <c r="D7" s="10">
        <v>71.67</v>
      </c>
      <c r="E7" s="387">
        <v>70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</row>
    <row r="8" spans="1:33" s="13" customFormat="1" ht="15" customHeight="1" x14ac:dyDescent="0.3">
      <c r="A8" s="108" t="s">
        <v>10</v>
      </c>
      <c r="B8" s="796"/>
      <c r="C8" s="1114"/>
      <c r="D8" s="974"/>
      <c r="E8" s="975"/>
      <c r="F8"/>
      <c r="G8"/>
      <c r="H8"/>
      <c r="I8"/>
      <c r="J8" s="48"/>
    </row>
    <row r="9" spans="1:33" s="270" customFormat="1" ht="17.25" customHeight="1" x14ac:dyDescent="0.35">
      <c r="A9" s="281" t="s">
        <v>208</v>
      </c>
      <c r="B9" s="41">
        <v>100</v>
      </c>
      <c r="C9" s="10">
        <v>95</v>
      </c>
      <c r="D9" s="10">
        <v>100</v>
      </c>
      <c r="E9" s="387">
        <v>106</v>
      </c>
      <c r="F9"/>
      <c r="G9"/>
      <c r="H9"/>
      <c r="I9"/>
      <c r="J9" s="368"/>
      <c r="K9" s="368"/>
      <c r="L9" s="368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</row>
    <row r="10" spans="1:33" s="271" customFormat="1" ht="17.25" customHeight="1" x14ac:dyDescent="0.35">
      <c r="A10" s="280" t="s">
        <v>358</v>
      </c>
      <c r="B10" s="62">
        <v>70.3</v>
      </c>
      <c r="C10" s="16">
        <v>69.260000000000005</v>
      </c>
      <c r="D10" s="16">
        <v>72.22</v>
      </c>
      <c r="E10" s="389">
        <v>69.5</v>
      </c>
      <c r="F10"/>
      <c r="G10"/>
      <c r="H10"/>
      <c r="I10"/>
      <c r="J10" s="368"/>
      <c r="K10" s="368"/>
      <c r="L10" s="368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33" s="271" customFormat="1" ht="17.25" customHeight="1" x14ac:dyDescent="0.35">
      <c r="A11" s="108" t="s">
        <v>203</v>
      </c>
      <c r="B11" s="796"/>
      <c r="C11" s="1114"/>
      <c r="D11" s="974"/>
      <c r="E11" s="975"/>
      <c r="F11"/>
      <c r="G11"/>
      <c r="H11"/>
      <c r="I11"/>
      <c r="J11" s="368"/>
      <c r="K11" s="368"/>
      <c r="L11" s="368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</row>
    <row r="12" spans="1:33" s="271" customFormat="1" ht="17.25" customHeight="1" x14ac:dyDescent="0.35">
      <c r="A12" s="572" t="s">
        <v>210</v>
      </c>
      <c r="B12" s="573">
        <v>100</v>
      </c>
      <c r="C12" s="577">
        <v>103</v>
      </c>
      <c r="D12" s="574">
        <v>88</v>
      </c>
      <c r="E12" s="387">
        <v>109</v>
      </c>
      <c r="F12"/>
      <c r="G12"/>
      <c r="H12"/>
      <c r="I12"/>
      <c r="J12" s="368"/>
      <c r="K12" s="368"/>
      <c r="L12" s="368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</row>
    <row r="13" spans="1:33" s="271" customFormat="1" ht="17.25" customHeight="1" x14ac:dyDescent="0.35">
      <c r="A13" s="281" t="s">
        <v>211</v>
      </c>
      <c r="B13" s="41">
        <v>100</v>
      </c>
      <c r="C13" s="10">
        <v>103</v>
      </c>
      <c r="D13" s="10">
        <v>94</v>
      </c>
      <c r="E13" s="387">
        <v>103</v>
      </c>
      <c r="F13"/>
      <c r="G13"/>
      <c r="H13"/>
      <c r="I13"/>
      <c r="J13" s="368"/>
      <c r="K13" s="368"/>
      <c r="L13" s="368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</row>
    <row r="14" spans="1:33" s="271" customFormat="1" ht="17.25" customHeight="1" x14ac:dyDescent="0.35">
      <c r="A14" s="282" t="s">
        <v>359</v>
      </c>
      <c r="B14" s="39">
        <v>100</v>
      </c>
      <c r="C14" s="5">
        <v>91</v>
      </c>
      <c r="D14" s="5">
        <v>98</v>
      </c>
      <c r="E14" s="388">
        <v>111</v>
      </c>
      <c r="F14"/>
      <c r="G14"/>
      <c r="H14"/>
      <c r="I14"/>
      <c r="J14" s="368"/>
      <c r="K14" s="368"/>
      <c r="L14" s="368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</row>
    <row r="15" spans="1:33" s="271" customFormat="1" ht="17.25" customHeight="1" x14ac:dyDescent="0.35">
      <c r="A15" s="281" t="s">
        <v>360</v>
      </c>
      <c r="B15" s="41">
        <v>100</v>
      </c>
      <c r="C15" s="10">
        <v>99</v>
      </c>
      <c r="D15" s="10">
        <v>96</v>
      </c>
      <c r="E15" s="387">
        <v>104</v>
      </c>
      <c r="F15"/>
      <c r="G15"/>
      <c r="H15"/>
      <c r="I15"/>
      <c r="J15" s="368"/>
      <c r="K15" s="368"/>
      <c r="L15" s="368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</row>
    <row r="16" spans="1:33" s="271" customFormat="1" ht="17.25" customHeight="1" x14ac:dyDescent="0.35">
      <c r="A16" s="282" t="s">
        <v>212</v>
      </c>
      <c r="B16" s="39">
        <v>100</v>
      </c>
      <c r="C16" s="5">
        <v>91</v>
      </c>
      <c r="D16" s="5">
        <v>103</v>
      </c>
      <c r="E16" s="388">
        <v>106</v>
      </c>
      <c r="F16"/>
      <c r="G16"/>
      <c r="H16"/>
      <c r="I16"/>
      <c r="J16" s="368"/>
      <c r="K16" s="368"/>
      <c r="L16" s="368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</row>
    <row r="17" spans="1:33" s="271" customFormat="1" ht="17.25" customHeight="1" x14ac:dyDescent="0.35">
      <c r="A17" s="108" t="s">
        <v>327</v>
      </c>
      <c r="B17" s="796"/>
      <c r="C17" s="1114"/>
      <c r="D17" s="974"/>
      <c r="E17" s="975"/>
      <c r="F17"/>
      <c r="G17"/>
      <c r="H17"/>
      <c r="I17"/>
      <c r="J17" s="368"/>
      <c r="K17" s="368"/>
      <c r="L17" s="368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</row>
    <row r="18" spans="1:33" s="271" customFormat="1" ht="17.25" customHeight="1" x14ac:dyDescent="0.25">
      <c r="A18" s="280" t="s">
        <v>205</v>
      </c>
      <c r="B18" s="62">
        <v>100</v>
      </c>
      <c r="C18" s="16">
        <v>97</v>
      </c>
      <c r="D18" s="16">
        <v>101</v>
      </c>
      <c r="E18" s="389">
        <v>102</v>
      </c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</row>
    <row r="19" spans="1:33" ht="17.25" customHeight="1" x14ac:dyDescent="0.25">
      <c r="A19" s="1141" t="s">
        <v>307</v>
      </c>
      <c r="B19" s="17">
        <f>65+-1.46</f>
        <v>63.54</v>
      </c>
      <c r="C19" s="18">
        <f>65+-1.22</f>
        <v>63.78</v>
      </c>
      <c r="D19" s="18">
        <f>65+-1.92</f>
        <v>63.08</v>
      </c>
      <c r="E19" s="390">
        <f>65+-1.24</f>
        <v>63.76</v>
      </c>
      <c r="G19" s="568"/>
      <c r="H19" s="568"/>
      <c r="I19" s="568"/>
      <c r="J19" s="568"/>
    </row>
    <row r="20" spans="1:33" s="270" customFormat="1" ht="17.25" customHeight="1" x14ac:dyDescent="0.25">
      <c r="A20" s="281" t="s">
        <v>206</v>
      </c>
      <c r="B20" s="41">
        <v>100</v>
      </c>
      <c r="C20" s="10">
        <v>93</v>
      </c>
      <c r="D20" s="10">
        <v>98</v>
      </c>
      <c r="E20" s="387">
        <v>110</v>
      </c>
      <c r="F20"/>
      <c r="G20" s="568"/>
      <c r="H20" s="568"/>
      <c r="I20" s="568"/>
      <c r="J20" s="568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</row>
    <row r="21" spans="1:33" s="270" customFormat="1" ht="17.25" customHeight="1" x14ac:dyDescent="0.25">
      <c r="A21" s="281" t="s">
        <v>361</v>
      </c>
      <c r="B21" s="17">
        <f>65+5.36</f>
        <v>70.36</v>
      </c>
      <c r="C21" s="18">
        <f>65+5.56</f>
        <v>70.56</v>
      </c>
      <c r="D21" s="18">
        <f>65+5.58</f>
        <v>70.58</v>
      </c>
      <c r="E21" s="390">
        <f>65+4.94</f>
        <v>69.94</v>
      </c>
      <c r="F21"/>
      <c r="G21" s="568"/>
      <c r="H21" s="568"/>
      <c r="I21" s="568"/>
      <c r="J21" s="568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</row>
    <row r="22" spans="1:33" s="270" customFormat="1" ht="17.25" customHeight="1" x14ac:dyDescent="0.35">
      <c r="A22" s="281" t="s">
        <v>207</v>
      </c>
      <c r="B22" s="41">
        <v>100</v>
      </c>
      <c r="C22" s="10">
        <v>94</v>
      </c>
      <c r="D22" s="10">
        <v>103</v>
      </c>
      <c r="E22" s="387">
        <v>104</v>
      </c>
      <c r="F22"/>
      <c r="G22"/>
      <c r="H22"/>
      <c r="I22"/>
      <c r="J22" s="368"/>
      <c r="K22" s="368"/>
      <c r="L22" s="368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</row>
    <row r="23" spans="1:33" s="270" customFormat="1" ht="17.25" customHeight="1" x14ac:dyDescent="0.25">
      <c r="A23" s="282" t="s">
        <v>362</v>
      </c>
      <c r="B23" s="39">
        <v>100</v>
      </c>
      <c r="C23" s="5">
        <v>93</v>
      </c>
      <c r="D23" s="5">
        <v>97</v>
      </c>
      <c r="E23" s="388">
        <v>110</v>
      </c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</row>
    <row r="24" spans="1:33" s="270" customFormat="1" ht="17.25" customHeight="1" x14ac:dyDescent="0.3">
      <c r="A24" s="24" t="s">
        <v>11</v>
      </c>
      <c r="B24" s="1115"/>
      <c r="C24" s="1116"/>
      <c r="D24" s="1116"/>
      <c r="E24" s="1117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</row>
    <row r="25" spans="1:33" s="6" customFormat="1" ht="17.25" customHeight="1" x14ac:dyDescent="0.3">
      <c r="A25" s="375" t="s">
        <v>310</v>
      </c>
      <c r="B25" s="365">
        <v>5.8</v>
      </c>
      <c r="C25" s="366">
        <v>6.1</v>
      </c>
      <c r="D25" s="366">
        <v>5.4</v>
      </c>
      <c r="E25" s="391" t="s">
        <v>5</v>
      </c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</row>
    <row r="26" spans="1:33" ht="17.25" customHeight="1" x14ac:dyDescent="0.3">
      <c r="A26" s="24" t="s">
        <v>12</v>
      </c>
      <c r="B26" s="672"/>
      <c r="C26" s="1116"/>
      <c r="D26" s="1116"/>
      <c r="E26" s="1117"/>
    </row>
    <row r="27" spans="1:33" s="270" customFormat="1" ht="17.25" customHeight="1" x14ac:dyDescent="0.25">
      <c r="A27" s="326" t="s">
        <v>312</v>
      </c>
      <c r="B27" s="62">
        <v>7</v>
      </c>
      <c r="C27" s="16">
        <v>7</v>
      </c>
      <c r="D27" s="16">
        <v>7</v>
      </c>
      <c r="E27" s="392" t="s">
        <v>5</v>
      </c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</row>
    <row r="28" spans="1:33" s="270" customFormat="1" ht="17.25" customHeight="1" x14ac:dyDescent="0.25">
      <c r="A28" s="1187" t="s">
        <v>363</v>
      </c>
      <c r="B28" s="41">
        <v>4.4777094449437298</v>
      </c>
      <c r="C28" s="571">
        <v>6</v>
      </c>
      <c r="D28" s="571">
        <v>5</v>
      </c>
      <c r="E28" s="393" t="s">
        <v>201</v>
      </c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</row>
    <row r="29" spans="1:33" s="270" customFormat="1" ht="17.25" customHeight="1" x14ac:dyDescent="0.25">
      <c r="A29" s="1188" t="s">
        <v>364</v>
      </c>
      <c r="B29" s="39">
        <v>4.5</v>
      </c>
      <c r="C29" s="21">
        <v>3</v>
      </c>
      <c r="D29" s="21">
        <v>6</v>
      </c>
      <c r="E29" s="394" t="s">
        <v>5</v>
      </c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</row>
    <row r="30" spans="1:33" s="270" customFormat="1" ht="8.25" customHeight="1" x14ac:dyDescent="0.25">
      <c r="A30" s="1111"/>
      <c r="B30" s="672"/>
      <c r="C30" s="1112"/>
      <c r="D30" s="1112"/>
      <c r="E30" s="1113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</row>
    <row r="31" spans="1:33" s="270" customFormat="1" ht="15" customHeight="1" x14ac:dyDescent="0.3">
      <c r="A31" s="65" t="s">
        <v>285</v>
      </c>
      <c r="B31" s="1105"/>
      <c r="C31" s="9">
        <v>1982</v>
      </c>
      <c r="D31" s="9">
        <v>1991</v>
      </c>
      <c r="E31" s="395">
        <v>2021</v>
      </c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</row>
    <row r="32" spans="1:33" ht="44.5" customHeight="1" x14ac:dyDescent="0.3">
      <c r="A32" s="65" t="s">
        <v>367</v>
      </c>
      <c r="B32" s="1105"/>
      <c r="C32" s="1207" t="s">
        <v>379</v>
      </c>
      <c r="D32" s="1215" t="s">
        <v>394</v>
      </c>
      <c r="E32" s="1216" t="s">
        <v>372</v>
      </c>
    </row>
    <row r="33" spans="1:33" ht="26.5" customHeight="1" x14ac:dyDescent="0.3">
      <c r="A33" s="65" t="s">
        <v>384</v>
      </c>
      <c r="B33" s="1105"/>
      <c r="C33" s="1207" t="s">
        <v>374</v>
      </c>
      <c r="D33" s="1217" t="s">
        <v>381</v>
      </c>
      <c r="E33" s="1216" t="s">
        <v>377</v>
      </c>
    </row>
    <row r="34" spans="1:33" s="272" customFormat="1" ht="15" customHeight="1" x14ac:dyDescent="0.25">
      <c r="A34" s="116" t="s">
        <v>6</v>
      </c>
      <c r="B34" s="1106"/>
      <c r="C34" s="1109"/>
      <c r="D34" s="1109"/>
      <c r="E34" s="1110"/>
    </row>
    <row r="35" spans="1:33" ht="15" customHeight="1" x14ac:dyDescent="0.25">
      <c r="A35" s="37" t="s">
        <v>19</v>
      </c>
      <c r="B35" s="1107"/>
      <c r="C35" s="23">
        <v>6</v>
      </c>
      <c r="D35" s="23">
        <v>6</v>
      </c>
      <c r="E35" s="396">
        <v>6</v>
      </c>
    </row>
    <row r="36" spans="1:33" s="270" customFormat="1" ht="15" customHeight="1" thickBot="1" x14ac:dyDescent="0.3">
      <c r="A36" s="273" t="s">
        <v>20</v>
      </c>
      <c r="B36" s="1108"/>
      <c r="C36" s="274">
        <v>2</v>
      </c>
      <c r="D36" s="274">
        <v>2</v>
      </c>
      <c r="E36" s="397">
        <v>2</v>
      </c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ht="10.5" customHeight="1" x14ac:dyDescent="0.25">
      <c r="A37" s="153"/>
      <c r="B37" s="153"/>
      <c r="C37" s="153"/>
      <c r="D37" s="153"/>
      <c r="E37" s="153"/>
    </row>
  </sheetData>
  <phoneticPr fontId="6" type="noConversion"/>
  <printOptions horizontalCentered="1" verticalCentered="1"/>
  <pageMargins left="0.6692913385826772" right="0.19685039370078741" top="0.43307086614173229" bottom="0.27559055118110237" header="0.19685039370078741" footer="0.15748031496062992"/>
  <pageSetup paperSize="9" scale="76" orientation="landscape" r:id="rId1"/>
  <headerFooter alignWithMargins="0"/>
</worksheet>
</file>

<file path=docMetadata/LabelInfo.xml><?xml version="1.0" encoding="utf-8"?>
<clbl:labelList xmlns:clbl="http://schemas.microsoft.com/office/2020/mipLabelMetadata">
  <clbl:label id="{a12ce54b-3d3d-4346-95ef-ff13ca5dd47d}" enabled="0" method="" siteId="{a12ce54b-3d3d-4346-95ef-ff13ca5dd47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13</vt:i4>
      </vt:variant>
    </vt:vector>
  </HeadingPairs>
  <TitlesOfParts>
    <vt:vector size="26" baseType="lpstr">
      <vt:lpstr>EPRG</vt:lpstr>
      <vt:lpstr> IPRG DIP</vt:lpstr>
      <vt:lpstr>IPRG TET</vt:lpstr>
      <vt:lpstr> LPRG DIP</vt:lpstr>
      <vt:lpstr>LPRG TET</vt:lpstr>
      <vt:lpstr>IRG DIP</vt:lpstr>
      <vt:lpstr>IRG TET</vt:lpstr>
      <vt:lpstr>HRG</vt:lpstr>
      <vt:lpstr>TIM</vt:lpstr>
      <vt:lpstr>WC</vt:lpstr>
      <vt:lpstr>RC</vt:lpstr>
      <vt:lpstr>LU</vt:lpstr>
      <vt:lpstr>CFT</vt:lpstr>
      <vt:lpstr>' IPRG DIP'!Print_Area</vt:lpstr>
      <vt:lpstr>' LPRG DIP'!Print_Area</vt:lpstr>
      <vt:lpstr>EPRG!Print_Area</vt:lpstr>
      <vt:lpstr>HRG!Print_Area</vt:lpstr>
      <vt:lpstr>'IPRG TET'!Print_Area</vt:lpstr>
      <vt:lpstr>'IRG DIP'!Print_Area</vt:lpstr>
      <vt:lpstr>'IRG TET'!Print_Area</vt:lpstr>
      <vt:lpstr>'LPRG TET'!Print_Area</vt:lpstr>
      <vt:lpstr>LU!Print_Area</vt:lpstr>
      <vt:lpstr>TIM!Print_Area</vt:lpstr>
      <vt:lpstr>WC!Print_Area</vt:lpstr>
      <vt:lpstr>'IRG DIP'!Print_Titles</vt:lpstr>
      <vt:lpstr>WC!Print_Titles</vt:lpstr>
    </vt:vector>
  </TitlesOfParts>
  <Company>NIAB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Kerr</dc:creator>
  <cp:lastModifiedBy>Victoria Wright</cp:lastModifiedBy>
  <cp:lastPrinted>2024-01-31T13:06:36Z</cp:lastPrinted>
  <dcterms:created xsi:type="dcterms:W3CDTF">2009-03-05T08:43:59Z</dcterms:created>
  <dcterms:modified xsi:type="dcterms:W3CDTF">2024-05-17T14:30:52Z</dcterms:modified>
</cp:coreProperties>
</file>