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hdbonline-my.sharepoint.com/personal/victoria_wright_ahdb_org_uk/Documents/Documents/RGCL/Amends/"/>
    </mc:Choice>
  </mc:AlternateContent>
  <xr:revisionPtr revIDLastSave="370" documentId="8_{C632D8F8-268C-40F9-B81E-E55733397BA3}" xr6:coauthVersionLast="47" xr6:coauthVersionMax="47" xr10:uidLastSave="{522D1544-8EFA-4A45-8917-D559C15B9E46}"/>
  <bookViews>
    <workbookView xWindow="28680" yWindow="-120" windowWidth="29040" windowHeight="15720" tabRatio="772" xr2:uid="{00000000-000D-0000-FFFF-FFFF00000000}"/>
  </bookViews>
  <sheets>
    <sheet name="Summary" sheetId="12" r:id="rId1"/>
    <sheet name="PRGs" sheetId="1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4" i="12" l="1"/>
  <c r="J24" i="12"/>
  <c r="J109" i="12"/>
  <c r="F109" i="12"/>
  <c r="J108" i="12"/>
  <c r="F108" i="12"/>
  <c r="J107" i="12"/>
  <c r="F107" i="12"/>
  <c r="J106" i="12"/>
  <c r="F106" i="12"/>
  <c r="J105" i="12"/>
  <c r="F105" i="12"/>
  <c r="J104" i="12"/>
  <c r="F104" i="12"/>
  <c r="J103" i="12"/>
  <c r="F103" i="12"/>
  <c r="J102" i="12"/>
  <c r="F102" i="12"/>
  <c r="J101" i="12"/>
  <c r="F101" i="12"/>
  <c r="J100" i="12"/>
  <c r="F100" i="12"/>
  <c r="J99" i="12"/>
  <c r="F99" i="12"/>
  <c r="J98" i="12"/>
  <c r="F98" i="12"/>
  <c r="J97" i="12"/>
  <c r="F97" i="12"/>
  <c r="J95" i="12"/>
  <c r="F95" i="12"/>
  <c r="J94" i="12"/>
  <c r="F94" i="12"/>
  <c r="J93" i="12"/>
  <c r="F93" i="12"/>
  <c r="J92" i="12"/>
  <c r="F92" i="12"/>
  <c r="J91" i="12"/>
  <c r="F91" i="12"/>
  <c r="J90" i="12"/>
  <c r="F90" i="12"/>
  <c r="J89" i="12"/>
  <c r="F89" i="12"/>
  <c r="J88" i="12"/>
  <c r="F88" i="12"/>
  <c r="J87" i="12"/>
  <c r="F87" i="12"/>
  <c r="J86" i="12"/>
  <c r="F86" i="12"/>
  <c r="J85" i="12"/>
  <c r="F85" i="12"/>
  <c r="J84" i="12"/>
  <c r="F84" i="12"/>
  <c r="J83" i="12"/>
  <c r="F83" i="12"/>
  <c r="J82" i="12"/>
  <c r="F82" i="12"/>
  <c r="J81" i="12"/>
  <c r="F81" i="12"/>
  <c r="J80" i="12"/>
  <c r="F80" i="12"/>
  <c r="J79" i="12"/>
  <c r="F79" i="12"/>
  <c r="J78" i="12"/>
  <c r="F78" i="12"/>
  <c r="J77" i="12"/>
  <c r="F77" i="12"/>
  <c r="J76" i="12"/>
  <c r="F76" i="12"/>
  <c r="J75" i="12"/>
  <c r="F75" i="12"/>
  <c r="J74" i="12"/>
  <c r="F74" i="12"/>
  <c r="J73" i="12"/>
  <c r="F73" i="12"/>
  <c r="J72" i="12"/>
  <c r="F72" i="12"/>
  <c r="J71" i="12"/>
  <c r="F71" i="12"/>
  <c r="J70" i="12"/>
  <c r="F70" i="12"/>
  <c r="J69" i="12"/>
  <c r="F69" i="12"/>
  <c r="J68" i="12"/>
  <c r="F68" i="12"/>
  <c r="J67" i="12"/>
  <c r="F67" i="12"/>
  <c r="J66" i="12"/>
  <c r="F66" i="12"/>
  <c r="J65" i="12"/>
  <c r="F65" i="12"/>
  <c r="J64" i="12"/>
  <c r="F64" i="12"/>
  <c r="J53" i="12"/>
  <c r="F53" i="12"/>
  <c r="J52" i="12"/>
  <c r="F52" i="12"/>
  <c r="J51" i="12"/>
  <c r="F51" i="12"/>
  <c r="J50" i="12"/>
  <c r="F50" i="12"/>
  <c r="J49" i="12"/>
  <c r="F49" i="12"/>
  <c r="J48" i="12"/>
  <c r="F48" i="12"/>
  <c r="J47" i="12"/>
  <c r="F47" i="12"/>
  <c r="J46" i="12"/>
  <c r="F46" i="12"/>
  <c r="J45" i="12"/>
  <c r="F45" i="12"/>
  <c r="J44" i="12"/>
  <c r="F44" i="12"/>
  <c r="J43" i="12"/>
  <c r="F43" i="12"/>
  <c r="J42" i="12"/>
  <c r="F42" i="12"/>
  <c r="J41" i="12"/>
  <c r="F41" i="12"/>
  <c r="J40" i="12"/>
  <c r="F40" i="12"/>
  <c r="J39" i="12"/>
  <c r="F39" i="12"/>
  <c r="J38" i="12"/>
  <c r="F38" i="12"/>
  <c r="J36" i="12"/>
  <c r="F36" i="12"/>
  <c r="J35" i="12"/>
  <c r="F35" i="12"/>
  <c r="J34" i="12"/>
  <c r="F34" i="12"/>
  <c r="J33" i="12"/>
  <c r="F33" i="12"/>
  <c r="J32" i="12"/>
  <c r="F32" i="12"/>
  <c r="J31" i="12"/>
  <c r="F31" i="12"/>
  <c r="J30" i="12"/>
  <c r="F30" i="12"/>
  <c r="J29" i="12"/>
  <c r="F29" i="12"/>
  <c r="J28" i="12"/>
  <c r="F28" i="12"/>
  <c r="J27" i="12"/>
  <c r="F27" i="12"/>
  <c r="J26" i="12"/>
  <c r="F26" i="12"/>
  <c r="J25" i="12"/>
  <c r="F25" i="12"/>
  <c r="J14" i="12"/>
  <c r="F14" i="12"/>
  <c r="J13" i="12"/>
  <c r="F13" i="12"/>
  <c r="J12" i="12"/>
  <c r="F12" i="12"/>
  <c r="J10" i="12"/>
  <c r="F10" i="12"/>
  <c r="J9" i="12"/>
  <c r="F9" i="12"/>
  <c r="J8" i="12"/>
  <c r="F8" i="12"/>
  <c r="F166" i="12"/>
  <c r="F165" i="12"/>
  <c r="F164" i="12"/>
  <c r="F163" i="12"/>
  <c r="F162" i="12"/>
  <c r="F161" i="12"/>
  <c r="F160" i="12"/>
  <c r="F159" i="12"/>
  <c r="F158" i="12"/>
  <c r="F157" i="12"/>
  <c r="F156" i="12"/>
  <c r="F155" i="12"/>
  <c r="F154" i="12"/>
  <c r="F153" i="12"/>
  <c r="F152" i="12"/>
  <c r="F151" i="12"/>
  <c r="F149" i="12"/>
  <c r="F148" i="12"/>
  <c r="F147" i="12"/>
  <c r="F146" i="12"/>
  <c r="F138" i="12"/>
  <c r="F137" i="12"/>
  <c r="F136" i="12"/>
  <c r="F135" i="12"/>
  <c r="F134" i="12"/>
  <c r="F133" i="12"/>
  <c r="F132" i="12"/>
  <c r="F131" i="12"/>
  <c r="F130" i="12"/>
  <c r="F128" i="12"/>
  <c r="F127" i="12"/>
  <c r="F126" i="12"/>
  <c r="F125" i="12"/>
  <c r="F124" i="12"/>
  <c r="F123" i="12"/>
  <c r="F122" i="12"/>
  <c r="F121" i="12"/>
  <c r="F120" i="12"/>
  <c r="F119" i="12"/>
  <c r="F118" i="12"/>
  <c r="F117" i="12"/>
  <c r="F116" i="12"/>
  <c r="F175" i="12"/>
  <c r="I175" i="12"/>
  <c r="F176" i="12"/>
  <c r="I176" i="12"/>
  <c r="F177" i="12"/>
  <c r="I177" i="12"/>
  <c r="F178" i="12"/>
  <c r="I178" i="12"/>
  <c r="F179" i="12"/>
  <c r="I179" i="12"/>
  <c r="F180" i="12"/>
  <c r="I180" i="12"/>
  <c r="F181" i="12"/>
  <c r="I181" i="12"/>
  <c r="F245" i="12"/>
  <c r="D245" i="12"/>
  <c r="F244" i="12"/>
  <c r="D244" i="12"/>
  <c r="F243" i="12"/>
  <c r="D243" i="12"/>
  <c r="E8" i="13"/>
  <c r="I8" i="13"/>
  <c r="E9" i="13"/>
  <c r="I9" i="13"/>
  <c r="E10" i="13"/>
  <c r="I10" i="13"/>
  <c r="E12" i="13"/>
  <c r="I12" i="13"/>
  <c r="E13" i="13"/>
  <c r="I13" i="13"/>
  <c r="E14" i="13"/>
  <c r="I14" i="13"/>
  <c r="E24" i="13"/>
  <c r="I24" i="13"/>
  <c r="E25" i="13"/>
  <c r="I25" i="13"/>
  <c r="E26" i="13"/>
  <c r="I26" i="13"/>
  <c r="E27" i="13"/>
  <c r="I27" i="13"/>
  <c r="E28" i="13"/>
  <c r="I28" i="13"/>
  <c r="E29" i="13"/>
  <c r="I29" i="13"/>
  <c r="E30" i="13"/>
  <c r="I30" i="13"/>
  <c r="E31" i="13"/>
  <c r="I31" i="13"/>
  <c r="E32" i="13"/>
  <c r="I32" i="13"/>
  <c r="E33" i="13"/>
  <c r="I33" i="13"/>
  <c r="E34" i="13"/>
  <c r="I34" i="13"/>
  <c r="E35" i="13"/>
  <c r="I35" i="13"/>
  <c r="E36" i="13"/>
  <c r="I36" i="13"/>
  <c r="E38" i="13"/>
  <c r="I38" i="13"/>
  <c r="E39" i="13"/>
  <c r="I39" i="13"/>
  <c r="E40" i="13"/>
  <c r="I40" i="13"/>
  <c r="E41" i="13"/>
  <c r="I41" i="13"/>
  <c r="E42" i="13"/>
  <c r="I42" i="13"/>
  <c r="E43" i="13"/>
  <c r="I43" i="13"/>
  <c r="E44" i="13"/>
  <c r="I44" i="13"/>
  <c r="E45" i="13"/>
  <c r="I45" i="13"/>
  <c r="E46" i="13"/>
  <c r="I46" i="13"/>
  <c r="E47" i="13"/>
  <c r="I47" i="13"/>
  <c r="E48" i="13"/>
  <c r="I48" i="13"/>
  <c r="E49" i="13"/>
  <c r="I49" i="13"/>
  <c r="E50" i="13"/>
  <c r="I50" i="13"/>
  <c r="E51" i="13"/>
  <c r="I51" i="13"/>
  <c r="E52" i="13"/>
  <c r="I52" i="13"/>
  <c r="E53" i="13"/>
  <c r="I53" i="13"/>
  <c r="E62" i="13"/>
  <c r="I62" i="13"/>
  <c r="E63" i="13"/>
  <c r="I63" i="13"/>
  <c r="E64" i="13"/>
  <c r="I64" i="13"/>
  <c r="E65" i="13"/>
  <c r="I65" i="13"/>
  <c r="E66" i="13"/>
  <c r="I66" i="13"/>
  <c r="E67" i="13"/>
  <c r="I67" i="13"/>
  <c r="E68" i="13"/>
  <c r="I68" i="13"/>
  <c r="E69" i="13"/>
  <c r="I69" i="13"/>
  <c r="E70" i="13"/>
  <c r="I70" i="13"/>
  <c r="E71" i="13"/>
  <c r="I71" i="13"/>
  <c r="E72" i="13"/>
  <c r="I72" i="13"/>
  <c r="E73" i="13"/>
  <c r="I73" i="13"/>
  <c r="E74" i="13"/>
  <c r="I74" i="13"/>
  <c r="E75" i="13"/>
  <c r="I75" i="13"/>
  <c r="E76" i="13"/>
  <c r="I76" i="13"/>
  <c r="E77" i="13"/>
  <c r="I77" i="13"/>
  <c r="E78" i="13"/>
  <c r="I78" i="13"/>
  <c r="E79" i="13"/>
  <c r="I79" i="13"/>
  <c r="E80" i="13"/>
  <c r="I80" i="13"/>
  <c r="E81" i="13"/>
  <c r="I81" i="13"/>
  <c r="E82" i="13"/>
  <c r="I82" i="13"/>
  <c r="E83" i="13"/>
  <c r="I83" i="13"/>
  <c r="E84" i="13"/>
  <c r="I84" i="13"/>
  <c r="E85" i="13"/>
  <c r="I85" i="13"/>
  <c r="E86" i="13"/>
  <c r="I86" i="13"/>
  <c r="E87" i="13"/>
  <c r="I87" i="13"/>
  <c r="E88" i="13"/>
  <c r="I88" i="13"/>
  <c r="E89" i="13"/>
  <c r="I89" i="13"/>
  <c r="E90" i="13"/>
  <c r="I90" i="13"/>
  <c r="E91" i="13"/>
  <c r="I91" i="13"/>
  <c r="E92" i="13"/>
  <c r="I92" i="13"/>
  <c r="E93" i="13"/>
  <c r="I93" i="13"/>
  <c r="E94" i="13"/>
  <c r="I94" i="13"/>
  <c r="E95" i="13"/>
  <c r="I95" i="13"/>
  <c r="E97" i="13"/>
  <c r="I97" i="13"/>
  <c r="E98" i="13"/>
  <c r="I98" i="13"/>
  <c r="E99" i="13"/>
  <c r="I99" i="13"/>
  <c r="E100" i="13"/>
  <c r="I100" i="13"/>
  <c r="E101" i="13"/>
  <c r="I101" i="13"/>
  <c r="E102" i="13"/>
  <c r="I102" i="13"/>
  <c r="E103" i="13"/>
  <c r="I103" i="13"/>
  <c r="E104" i="13"/>
  <c r="I104" i="13"/>
  <c r="E105" i="13"/>
  <c r="I105" i="13"/>
  <c r="E106" i="13"/>
  <c r="I106" i="13"/>
  <c r="E107" i="13"/>
  <c r="I107" i="13"/>
  <c r="E108" i="13"/>
  <c r="I108" i="13"/>
  <c r="E109" i="13"/>
  <c r="I109" i="13"/>
</calcChain>
</file>

<file path=xl/sharedStrings.xml><?xml version="1.0" encoding="utf-8"?>
<sst xmlns="http://schemas.openxmlformats.org/spreadsheetml/2006/main" count="652" uniqueCount="263">
  <si>
    <t>Conservation management</t>
  </si>
  <si>
    <t>Crude protein % in 1st cut of 1st harvest year</t>
  </si>
  <si>
    <t>After light defoliation</t>
  </si>
  <si>
    <t>Diploids</t>
  </si>
  <si>
    <t>Tetraploids</t>
  </si>
  <si>
    <t>After hard defoliation</t>
  </si>
  <si>
    <t>Variety</t>
  </si>
  <si>
    <t>Heading date</t>
  </si>
  <si>
    <t xml:space="preserve">Simulated grazing management </t>
  </si>
  <si>
    <r>
      <t xml:space="preserve">D-value
</t>
    </r>
    <r>
      <rPr>
        <sz val="10"/>
        <color rgb="FF000000"/>
        <rFont val="Arial"/>
        <family val="2"/>
      </rPr>
      <t xml:space="preserve">Mid-summer </t>
    </r>
    <r>
      <rPr>
        <b/>
        <sz val="10"/>
        <color indexed="8"/>
        <rFont val="Arial"/>
        <family val="2"/>
      </rPr>
      <t xml:space="preserve">                  </t>
    </r>
  </si>
  <si>
    <r>
      <rPr>
        <b/>
        <sz val="10"/>
        <color rgb="FF000000"/>
        <rFont val="Arial"/>
        <family val="2"/>
      </rPr>
      <t xml:space="preserve">D-value
</t>
    </r>
    <r>
      <rPr>
        <sz val="10"/>
        <color indexed="8"/>
        <rFont val="Arial"/>
        <family val="2"/>
      </rPr>
      <t xml:space="preserve">2nd conservation cut     </t>
    </r>
  </si>
  <si>
    <t xml:space="preserve">D-value
mid-summer </t>
  </si>
  <si>
    <t xml:space="preserve"> Ground cover %                  (2nd harvest year)</t>
  </si>
  <si>
    <t>Crude protein % in 2nd cut of 2nd harvest year</t>
  </si>
  <si>
    <t>Crude protein % in 2nd cut of 3rd harvest year</t>
  </si>
  <si>
    <t xml:space="preserve">Early Perennial Ryegrass Varieties </t>
  </si>
  <si>
    <t>Intermediate Perennial Ryegrass Varieties</t>
  </si>
  <si>
    <t>1 = poor  9=good</t>
  </si>
  <si>
    <t>Late Perennial Ryegrass Varieties</t>
  </si>
  <si>
    <t>Crown Rust resistance</t>
  </si>
  <si>
    <r>
      <rPr>
        <b/>
        <sz val="10"/>
        <color indexed="8"/>
        <rFont val="Arial"/>
        <family val="2"/>
      </rPr>
      <t>Mildew resistanc</t>
    </r>
    <r>
      <rPr>
        <sz val="10"/>
        <color indexed="8"/>
        <rFont val="Arial"/>
        <family val="2"/>
      </rPr>
      <t>e</t>
    </r>
  </si>
  <si>
    <t>Winter hardiness</t>
  </si>
  <si>
    <t>Total yield of clover</t>
  </si>
  <si>
    <t>Total yield of grass + clover</t>
  </si>
  <si>
    <t>What’s different in this year’s RGCL?</t>
  </si>
  <si>
    <t>Name</t>
  </si>
  <si>
    <t xml:space="preserve">Type </t>
  </si>
  <si>
    <t>Page</t>
  </si>
  <si>
    <t>Genesis</t>
  </si>
  <si>
    <t>Moyola</t>
  </si>
  <si>
    <t>Glasker</t>
  </si>
  <si>
    <t>AberTorch</t>
  </si>
  <si>
    <t>Cooky</t>
  </si>
  <si>
    <t>Barwave</t>
  </si>
  <si>
    <t>Galgorm</t>
  </si>
  <si>
    <t>Nifty</t>
  </si>
  <si>
    <t>Moira</t>
  </si>
  <si>
    <t>Goldwell</t>
  </si>
  <si>
    <t>AberZeus</t>
  </si>
  <si>
    <t xml:space="preserve">AberMagic </t>
  </si>
  <si>
    <t>Alecto</t>
  </si>
  <si>
    <t>AberWolf</t>
  </si>
  <si>
    <t>Gosford</t>
  </si>
  <si>
    <t>Agaska</t>
  </si>
  <si>
    <t>AberGreen</t>
  </si>
  <si>
    <t>Fintona</t>
  </si>
  <si>
    <t>Seagoe</t>
  </si>
  <si>
    <t>Erinvale</t>
  </si>
  <si>
    <t>Nolwen</t>
  </si>
  <si>
    <t>Tollymore</t>
  </si>
  <si>
    <t>Banbridge</t>
  </si>
  <si>
    <t>Ritchie</t>
  </si>
  <si>
    <t>AstonVision</t>
  </si>
  <si>
    <t>Chatsworth</t>
  </si>
  <si>
    <t>AberSpey</t>
  </si>
  <si>
    <t>Convey</t>
  </si>
  <si>
    <t>Dunluce</t>
  </si>
  <si>
    <t>Pensel</t>
  </si>
  <si>
    <t>Federer</t>
  </si>
  <si>
    <t>AstonEnergy</t>
  </si>
  <si>
    <t>AberSevern</t>
  </si>
  <si>
    <t>Wetherby</t>
  </si>
  <si>
    <t>Kendal</t>
  </si>
  <si>
    <t>AberTest</t>
  </si>
  <si>
    <t>Callan</t>
  </si>
  <si>
    <t>Graphic</t>
  </si>
  <si>
    <t>Toddington</t>
  </si>
  <si>
    <t>Ballyvoy</t>
  </si>
  <si>
    <t>Bandon</t>
  </si>
  <si>
    <t>Dundrod</t>
  </si>
  <si>
    <t>Crossgar</t>
  </si>
  <si>
    <t>AberAvon</t>
  </si>
  <si>
    <t>Oakpark</t>
  </si>
  <si>
    <t>AstonKing</t>
  </si>
  <si>
    <t>Drumbo</t>
  </si>
  <si>
    <t>Glenarm</t>
  </si>
  <si>
    <t>Zorgue</t>
  </si>
  <si>
    <t>Gleneagle</t>
  </si>
  <si>
    <t>Timuco</t>
  </si>
  <si>
    <t>AberBann</t>
  </si>
  <si>
    <t>Timing</t>
  </si>
  <si>
    <t>Swan</t>
  </si>
  <si>
    <t>AberThames</t>
  </si>
  <si>
    <t>AberLee</t>
  </si>
  <si>
    <t>Delika</t>
  </si>
  <si>
    <t>AberChoice</t>
  </si>
  <si>
    <t>Cancan</t>
  </si>
  <si>
    <t>AberDon</t>
  </si>
  <si>
    <t>Bowie</t>
  </si>
  <si>
    <t>Ballintoy</t>
  </si>
  <si>
    <t>Bijou</t>
  </si>
  <si>
    <t>Meiduno</t>
  </si>
  <si>
    <t>Weldone</t>
  </si>
  <si>
    <t>Gracehill</t>
  </si>
  <si>
    <t>Aspect</t>
  </si>
  <si>
    <t>AberGain</t>
  </si>
  <si>
    <t>Nashota</t>
  </si>
  <si>
    <t>Thegn</t>
  </si>
  <si>
    <t>Hopi</t>
  </si>
  <si>
    <t>Shakira</t>
  </si>
  <si>
    <t>Syntilla</t>
  </si>
  <si>
    <t>Doluga</t>
  </si>
  <si>
    <t>Muriello</t>
  </si>
  <si>
    <t>Fox</t>
  </si>
  <si>
    <t>Jaccar</t>
  </si>
  <si>
    <t>Alamo</t>
  </si>
  <si>
    <t>Pinaco</t>
  </si>
  <si>
    <t>Sendero</t>
  </si>
  <si>
    <t>Abys</t>
  </si>
  <si>
    <t>Melprimo</t>
  </si>
  <si>
    <t>Melsprinter</t>
  </si>
  <si>
    <t>Kigezi 1</t>
  </si>
  <si>
    <t>Udine</t>
  </si>
  <si>
    <t>Hunter</t>
  </si>
  <si>
    <t>Melsitra</t>
  </si>
  <si>
    <t>Arman</t>
  </si>
  <si>
    <t>Messina</t>
  </si>
  <si>
    <t>Barmultra II</t>
  </si>
  <si>
    <t>Barimax</t>
  </si>
  <si>
    <t>Pirol</t>
  </si>
  <si>
    <t>Barsilo</t>
  </si>
  <si>
    <t>Barclamp</t>
  </si>
  <si>
    <t>AberSheen</t>
  </si>
  <si>
    <t>AberEcho</t>
  </si>
  <si>
    <t>Enduro</t>
  </si>
  <si>
    <t xml:space="preserve">Bannfoot      </t>
  </si>
  <si>
    <t xml:space="preserve">Tetragraze            </t>
  </si>
  <si>
    <t>Perkins</t>
  </si>
  <si>
    <t>AberOpal</t>
  </si>
  <si>
    <t>RGT Cordial</t>
  </si>
  <si>
    <t>Kirial</t>
  </si>
  <si>
    <t>AberImage</t>
  </si>
  <si>
    <r>
      <rPr>
        <b/>
        <sz val="10"/>
        <color theme="1"/>
        <rFont val="Arial"/>
        <family val="2"/>
      </rPr>
      <t xml:space="preserve">D-value
</t>
    </r>
    <r>
      <rPr>
        <sz val="10"/>
        <color theme="1"/>
        <rFont val="Arial"/>
        <family val="2"/>
      </rPr>
      <t xml:space="preserve">2nd conservation cut     </t>
    </r>
  </si>
  <si>
    <r>
      <t xml:space="preserve">D-value
</t>
    </r>
    <r>
      <rPr>
        <sz val="10"/>
        <color theme="1"/>
        <rFont val="Arial"/>
        <family val="2"/>
      </rPr>
      <t xml:space="preserve">Mid-summer                   </t>
    </r>
  </si>
  <si>
    <t xml:space="preserve">Presto </t>
  </si>
  <si>
    <t>Comer</t>
  </si>
  <si>
    <t>Dolina</t>
  </si>
  <si>
    <t>Promesse</t>
  </si>
  <si>
    <t>Comtal</t>
  </si>
  <si>
    <t>Winnetou</t>
  </si>
  <si>
    <t>Baronaise</t>
  </si>
  <si>
    <t>AberAce</t>
  </si>
  <si>
    <t xml:space="preserve">Aberystwyth S.184 </t>
  </si>
  <si>
    <t>AberHerald</t>
  </si>
  <si>
    <t>Coolfin</t>
  </si>
  <si>
    <t>Quartz</t>
  </si>
  <si>
    <t>Iona</t>
  </si>
  <si>
    <t>AberSwan</t>
  </si>
  <si>
    <t>Dublin</t>
  </si>
  <si>
    <t>AberSirius</t>
  </si>
  <si>
    <t>Violin</t>
  </si>
  <si>
    <t>Clodagh</t>
  </si>
  <si>
    <t>Barblanca</t>
  </si>
  <si>
    <t>Legacy</t>
  </si>
  <si>
    <t>Aran</t>
  </si>
  <si>
    <t>Kakariki</t>
  </si>
  <si>
    <t>Brianna</t>
  </si>
  <si>
    <t>Merviot</t>
  </si>
  <si>
    <t>Lemmon</t>
  </si>
  <si>
    <t>AberClaret</t>
  </si>
  <si>
    <t>Harmonie</t>
  </si>
  <si>
    <t>Fearga</t>
  </si>
  <si>
    <t>Ganymed</t>
  </si>
  <si>
    <t>Sinope</t>
  </si>
  <si>
    <t>Daisy</t>
  </si>
  <si>
    <t>Sparta</t>
  </si>
  <si>
    <t>Lidacta</t>
  </si>
  <si>
    <t xml:space="preserve">RGT Lovely </t>
  </si>
  <si>
    <t xml:space="preserve">D-value 1st conservation cut                  </t>
  </si>
  <si>
    <t>-</t>
  </si>
  <si>
    <t>Inter PRG Dip</t>
  </si>
  <si>
    <t>Late PRG Dip</t>
  </si>
  <si>
    <t>Harrenhal</t>
  </si>
  <si>
    <t>Late PRG Tet</t>
  </si>
  <si>
    <t>Cigale</t>
  </si>
  <si>
    <t>Andantino</t>
  </si>
  <si>
    <t>Lucerne</t>
  </si>
  <si>
    <t>Richhill</t>
  </si>
  <si>
    <t>AberForth</t>
  </si>
  <si>
    <t>AstonGlory</t>
  </si>
  <si>
    <t>Silago</t>
  </si>
  <si>
    <t>Bomium</t>
  </si>
  <si>
    <t>S18515D</t>
  </si>
  <si>
    <t>AberTweed</t>
  </si>
  <si>
    <t>Farmington</t>
  </si>
  <si>
    <t>Bigdyl</t>
  </si>
  <si>
    <t>IRG Dip</t>
  </si>
  <si>
    <r>
      <t xml:space="preserve">Ground cover % </t>
    </r>
    <r>
      <rPr>
        <sz val="10"/>
        <color rgb="FF000000"/>
        <rFont val="Arial"/>
        <family val="2"/>
      </rPr>
      <t>2nd harvest year</t>
    </r>
  </si>
  <si>
    <t>Utopial</t>
  </si>
  <si>
    <r>
      <rPr>
        <b/>
        <sz val="10"/>
        <color rgb="FF000000"/>
        <rFont val="Arial"/>
        <family val="2"/>
      </rPr>
      <t>Ground cover</t>
    </r>
    <r>
      <rPr>
        <sz val="10"/>
        <color indexed="8"/>
        <rFont val="Arial"/>
        <family val="2"/>
      </rPr>
      <t xml:space="preserve"> % </t>
    </r>
  </si>
  <si>
    <t xml:space="preserve">Ground cover % </t>
  </si>
  <si>
    <r>
      <rPr>
        <b/>
        <sz val="10"/>
        <color theme="1"/>
        <rFont val="Arial"/>
        <family val="2"/>
      </rPr>
      <t>Total annual yield</t>
    </r>
    <r>
      <rPr>
        <sz val="10"/>
        <color theme="1"/>
        <rFont val="Arial"/>
        <family val="2"/>
      </rPr>
      <t xml:space="preserve">
(average = 100 at 9.16 t DM/ha)</t>
    </r>
  </si>
  <si>
    <t>[6.8]</t>
  </si>
  <si>
    <r>
      <rPr>
        <b/>
        <sz val="10"/>
        <color theme="1"/>
        <rFont val="Arial"/>
        <family val="2"/>
      </rPr>
      <t>1st conservation cut</t>
    </r>
    <r>
      <rPr>
        <sz val="10"/>
        <color theme="1"/>
        <rFont val="Arial"/>
        <family val="2"/>
      </rPr>
      <t xml:space="preserve"> (average = 100 at 6.18 t DM/ha)</t>
    </r>
  </si>
  <si>
    <t>[6.7]</t>
  </si>
  <si>
    <t>[7.0]</t>
  </si>
  <si>
    <t>Charlfield</t>
  </si>
  <si>
    <r>
      <rPr>
        <b/>
        <sz val="10"/>
        <color theme="1"/>
        <rFont val="Arial"/>
        <family val="2"/>
      </rPr>
      <t>Total annual yield</t>
    </r>
    <r>
      <rPr>
        <sz val="10"/>
        <color theme="1"/>
        <rFont val="Arial"/>
        <family val="2"/>
      </rPr>
      <t xml:space="preserve">
(average = 100 at 14.14 t DM/ha)</t>
    </r>
  </si>
  <si>
    <t>Drechslera resistance</t>
  </si>
  <si>
    <t>Exotyl</t>
  </si>
  <si>
    <t>not on NL</t>
  </si>
  <si>
    <t>remove</t>
  </si>
  <si>
    <t>Festulolium Hexaploid (Hybrid table)</t>
  </si>
  <si>
    <t>AberRoot (Fest)</t>
  </si>
  <si>
    <r>
      <rPr>
        <b/>
        <sz val="10"/>
        <color rgb="FF000000"/>
        <rFont val="Arial"/>
        <family val="2"/>
      </rPr>
      <t>ME Yield</t>
    </r>
    <r>
      <rPr>
        <sz val="10"/>
        <color indexed="8"/>
        <rFont val="Arial"/>
        <family val="2"/>
      </rPr>
      <t xml:space="preserve"> (% of     113,000 MJ/ha)</t>
    </r>
  </si>
  <si>
    <t>AberGarnet</t>
  </si>
  <si>
    <t>Aston Crusader</t>
  </si>
  <si>
    <r>
      <t xml:space="preserve">ME Yield </t>
    </r>
    <r>
      <rPr>
        <sz val="10"/>
        <color theme="1"/>
        <rFont val="Arial"/>
        <family val="2"/>
      </rPr>
      <t>(% of 106,000 MJ/ha)</t>
    </r>
  </si>
  <si>
    <r>
      <rPr>
        <b/>
        <sz val="10"/>
        <color rgb="FF000000"/>
        <rFont val="Arial"/>
        <family val="2"/>
      </rPr>
      <t>ME yield</t>
    </r>
    <r>
      <rPr>
        <sz val="10"/>
        <color indexed="8"/>
        <rFont val="Arial"/>
        <family val="2"/>
      </rPr>
      <t xml:space="preserve"> of 1st&amp;2nd cut yr 1 (% of 98,000 MJ/ha)</t>
    </r>
  </si>
  <si>
    <r>
      <t xml:space="preserve"> </t>
    </r>
    <r>
      <rPr>
        <b/>
        <sz val="10"/>
        <rFont val="Arial"/>
        <family val="2"/>
      </rPr>
      <t>ME yield</t>
    </r>
    <r>
      <rPr>
        <sz val="10"/>
        <rFont val="Arial"/>
        <family val="2"/>
      </rPr>
      <t xml:space="preserve"> 1st &amp; 2nd cut, 1st harvest yr
(% of 112,000 MJ/ha)</t>
    </r>
  </si>
  <si>
    <r>
      <t xml:space="preserve"> </t>
    </r>
    <r>
      <rPr>
        <b/>
        <sz val="10"/>
        <rFont val="Arial"/>
        <family val="2"/>
      </rPr>
      <t>ME yield</t>
    </r>
    <r>
      <rPr>
        <sz val="10"/>
        <rFont val="Arial"/>
        <family val="2"/>
      </rPr>
      <t xml:space="preserve"> 1st &amp; 2nd cut, 1st harvest yr
(% of 114,000 MJ/ha)</t>
    </r>
  </si>
  <si>
    <t>stay</t>
  </si>
  <si>
    <r>
      <t xml:space="preserve">ME yield </t>
    </r>
    <r>
      <rPr>
        <sz val="10"/>
        <color rgb="FFFF0000"/>
        <rFont val="Arial"/>
        <family val="2"/>
      </rPr>
      <t>1st &amp; 2nd cu</t>
    </r>
    <r>
      <rPr>
        <b/>
        <sz val="10"/>
        <color rgb="FFFF0000"/>
        <rFont val="Arial"/>
        <family val="2"/>
      </rPr>
      <t>t,</t>
    </r>
    <r>
      <rPr>
        <sz val="10"/>
        <color rgb="FFFF0000"/>
        <rFont val="Arial"/>
        <family val="2"/>
      </rPr>
      <t xml:space="preserve"> 1st harvest yr </t>
    </r>
    <r>
      <rPr>
        <sz val="10"/>
        <color rgb="FF000000"/>
        <rFont val="Arial"/>
        <family val="2"/>
      </rPr>
      <t xml:space="preserve">    </t>
    </r>
    <r>
      <rPr>
        <b/>
        <sz val="10"/>
        <color indexed="8"/>
        <rFont val="Arial"/>
        <family val="2"/>
      </rPr>
      <t xml:space="preserve">                        </t>
    </r>
    <r>
      <rPr>
        <sz val="10"/>
        <color rgb="FF000000"/>
        <rFont val="Arial"/>
        <family val="2"/>
      </rPr>
      <t>(% of 119,000 MJ/ha)</t>
    </r>
  </si>
  <si>
    <t>red text could be removed?</t>
  </si>
  <si>
    <t>1 = poor  9= good</t>
  </si>
  <si>
    <t>Crown rust resistance</t>
  </si>
  <si>
    <r>
      <rPr>
        <b/>
        <sz val="10"/>
        <color theme="1"/>
        <rFont val="Arial"/>
        <family val="2"/>
      </rPr>
      <t>D-value</t>
    </r>
    <r>
      <rPr>
        <sz val="10"/>
        <color theme="1"/>
        <rFont val="Arial"/>
        <family val="2"/>
      </rPr>
      <t xml:space="preserve">
m</t>
    </r>
    <r>
      <rPr>
        <sz val="10"/>
        <color rgb="FF000000"/>
        <rFont val="Arial"/>
        <family val="2"/>
      </rPr>
      <t xml:space="preserve">id-summer </t>
    </r>
    <r>
      <rPr>
        <b/>
        <sz val="10"/>
        <color indexed="8"/>
        <rFont val="Arial"/>
        <family val="2"/>
      </rPr>
      <t xml:space="preserve">                  </t>
    </r>
  </si>
  <si>
    <r>
      <rPr>
        <b/>
        <sz val="10"/>
        <color rgb="FF000000"/>
        <rFont val="Arial"/>
        <family val="2"/>
      </rPr>
      <t>ME yield</t>
    </r>
    <r>
      <rPr>
        <sz val="10"/>
        <color indexed="8"/>
        <rFont val="Arial"/>
        <family val="2"/>
      </rPr>
      <t xml:space="preserve"> (% of 113,000 MJ/ha)</t>
    </r>
  </si>
  <si>
    <t>Timothy varieties</t>
  </si>
  <si>
    <t>White clover varieties</t>
  </si>
  <si>
    <r>
      <t>Leaf area (mm</t>
    </r>
    <r>
      <rPr>
        <b/>
        <vertAlign val="superscript"/>
        <sz val="10"/>
        <color indexed="8"/>
        <rFont val="Arial"/>
        <family val="2"/>
      </rPr>
      <t>2</t>
    </r>
    <r>
      <rPr>
        <b/>
        <sz val="10"/>
        <color indexed="8"/>
        <rFont val="Arial"/>
        <family val="2"/>
      </rPr>
      <t>)</t>
    </r>
  </si>
  <si>
    <t>Autumn ground cover              (1 = poor 9 = good)</t>
  </si>
  <si>
    <t>Red clover varieties</t>
  </si>
  <si>
    <t>Cocksfoot varieties</t>
  </si>
  <si>
    <t>Seasonal growth</t>
  </si>
  <si>
    <t>Seasonal growth (1st harvest year)</t>
  </si>
  <si>
    <r>
      <t xml:space="preserve">Crude protein </t>
    </r>
    <r>
      <rPr>
        <sz val="10"/>
        <color theme="1"/>
        <rFont val="Arial"/>
        <family val="2"/>
      </rPr>
      <t>% in 1st cut of 1st harvest year</t>
    </r>
  </si>
  <si>
    <t>RL status</t>
  </si>
  <si>
    <t>G</t>
  </si>
  <si>
    <t>PS</t>
  </si>
  <si>
    <t>PG</t>
  </si>
  <si>
    <t>S</t>
  </si>
  <si>
    <r>
      <rPr>
        <b/>
        <sz val="10"/>
        <color theme="1"/>
        <rFont val="Arial"/>
        <family val="2"/>
      </rPr>
      <t>Total annual yield</t>
    </r>
    <r>
      <rPr>
        <sz val="10"/>
        <color theme="1"/>
        <rFont val="Arial"/>
        <family val="2"/>
      </rPr>
      <t xml:space="preserve">
(average = 100 at 15.66 t DM/ha</t>
    </r>
  </si>
  <si>
    <r>
      <rPr>
        <b/>
        <sz val="10"/>
        <color theme="1"/>
        <rFont val="Arial"/>
        <family val="2"/>
      </rPr>
      <t>Early spring growth</t>
    </r>
    <r>
      <rPr>
        <sz val="10"/>
        <color theme="1"/>
        <rFont val="Arial"/>
        <family val="2"/>
      </rPr>
      <t xml:space="preserve"> (1st harvest year)
(average = 100 at 1.78 t DM/ha</t>
    </r>
  </si>
  <si>
    <r>
      <rPr>
        <b/>
        <sz val="10"/>
        <color theme="1"/>
        <rFont val="Arial"/>
        <family val="2"/>
      </rPr>
      <t xml:space="preserve">Total annual yield </t>
    </r>
    <r>
      <rPr>
        <sz val="10"/>
        <color theme="1"/>
        <rFont val="Arial"/>
        <family val="2"/>
      </rPr>
      <t xml:space="preserve">
(average = 100 at 14.02 t DM/ha)</t>
    </r>
  </si>
  <si>
    <r>
      <rPr>
        <b/>
        <sz val="10"/>
        <color theme="1"/>
        <rFont val="Arial"/>
        <family val="2"/>
      </rPr>
      <t>Early spring growth</t>
    </r>
    <r>
      <rPr>
        <sz val="10"/>
        <color theme="1"/>
        <rFont val="Arial"/>
        <family val="2"/>
      </rPr>
      <t xml:space="preserve">   (1st harvest year)
(average= 100 at 1.55 t DM/ha)</t>
    </r>
  </si>
  <si>
    <t>Total annual yield
(average = 100 at 9.14 t DM/ha)</t>
  </si>
  <si>
    <t>Total annual yield
(average = 100 at 13.28 t DM/ha)</t>
  </si>
  <si>
    <t>3rd harvest year 
(average = 100 at 4.14 t DM/ha)</t>
  </si>
  <si>
    <t>3rd harvest year 
(average = 100 at 9.72 t DM/ha)</t>
  </si>
  <si>
    <t>Yield of 1st cut in 1st harvest year
(average = 100 at 5.25 t DM/ha)</t>
  </si>
  <si>
    <t>Total annual yield
average = 100 at 12.06 t DM/ha</t>
  </si>
  <si>
    <t>Total annual yield
(average = 100 at 14.34 t/ha)</t>
  </si>
  <si>
    <t>Yield of 1st cut in 1st harvest year
(average = 100 at 5.32 t/ha)</t>
  </si>
  <si>
    <r>
      <rPr>
        <b/>
        <sz val="10"/>
        <color theme="1"/>
        <rFont val="Arial"/>
        <family val="2"/>
      </rPr>
      <t>Yield of 1st cut in 1st harvest year</t>
    </r>
    <r>
      <rPr>
        <sz val="10"/>
        <color theme="1"/>
        <rFont val="Arial"/>
        <family val="2"/>
      </rPr>
      <t xml:space="preserve">
(average = 100 at 3.89 t/ha)</t>
    </r>
  </si>
  <si>
    <r>
      <rPr>
        <b/>
        <sz val="10"/>
        <color theme="1"/>
        <rFont val="Arial"/>
        <family val="2"/>
      </rPr>
      <t xml:space="preserve">Total yield </t>
    </r>
    <r>
      <rPr>
        <sz val="10"/>
        <color theme="1"/>
        <rFont val="Arial"/>
        <family val="2"/>
      </rPr>
      <t xml:space="preserve">
(average = 100 at 12.29 t/ha)</t>
    </r>
  </si>
  <si>
    <t xml:space="preserve">Early perennial ryegrass varieties </t>
  </si>
  <si>
    <t>Intermediate perennial ryegrass varieties</t>
  </si>
  <si>
    <t>Late perennial ryegrass varieties</t>
  </si>
  <si>
    <t>Italian ryegrass varieties</t>
  </si>
  <si>
    <t>Hybrid ryegrass varieties</t>
  </si>
  <si>
    <t>Lucerne varieties</t>
  </si>
  <si>
    <t>Kubicek</t>
  </si>
  <si>
    <t>Barlaunch</t>
  </si>
  <si>
    <t>Ground cover (%)</t>
  </si>
  <si>
    <t>Amos</t>
  </si>
  <si>
    <t>Atlantis</t>
  </si>
  <si>
    <t>Magellan</t>
  </si>
  <si>
    <t>AberNiche#</t>
  </si>
  <si>
    <t>Perseus#</t>
  </si>
  <si>
    <t>AberRoot#</t>
  </si>
  <si>
    <t># = Festulolium type variety</t>
  </si>
  <si>
    <r>
      <t xml:space="preserve">ME yield </t>
    </r>
    <r>
      <rPr>
        <sz val="10"/>
        <color theme="1"/>
        <rFont val="Arial"/>
        <family val="2"/>
      </rPr>
      <t>1st &amp; 2nd cu</t>
    </r>
    <r>
      <rPr>
        <b/>
        <sz val="10"/>
        <color theme="1"/>
        <rFont val="Arial"/>
        <family val="2"/>
      </rPr>
      <t>t,</t>
    </r>
    <r>
      <rPr>
        <sz val="10"/>
        <color theme="1"/>
        <rFont val="Arial"/>
        <family val="2"/>
      </rPr>
      <t xml:space="preserve"> 1st harvest yr     </t>
    </r>
    <r>
      <rPr>
        <b/>
        <sz val="10"/>
        <color theme="1"/>
        <rFont val="Arial"/>
        <family val="2"/>
      </rPr>
      <t xml:space="preserve">                        </t>
    </r>
    <r>
      <rPr>
        <sz val="10"/>
        <color theme="1"/>
        <rFont val="Arial"/>
        <family val="2"/>
      </rPr>
      <t>(% of 119,000 MJ/ha)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</si>
</sst>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\-mmm"/>
    <numFmt numFmtId="166" formatCode="dd/mm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name val="Calibri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trike/>
      <sz val="10"/>
      <name val="Arial"/>
      <family val="2"/>
    </font>
    <font>
      <strike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sz val="11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3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98">
    <xf numFmtId="0" fontId="0" fillId="0" borderId="0"/>
    <xf numFmtId="0" fontId="1" fillId="0" borderId="0"/>
    <xf numFmtId="0" fontId="1" fillId="0" borderId="0"/>
    <xf numFmtId="0" fontId="25" fillId="7" borderId="26" applyNumberFormat="0" applyAlignment="0" applyProtection="0"/>
    <xf numFmtId="0" fontId="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9" borderId="0" applyNumberFormat="0" applyBorder="0" applyAlignment="0" applyProtection="0"/>
    <xf numFmtId="0" fontId="28" fillId="10" borderId="0" applyNumberFormat="0" applyBorder="0" applyAlignment="0" applyProtection="0"/>
    <xf numFmtId="0" fontId="20" fillId="11" borderId="0" applyNumberFormat="0" applyBorder="0" applyAlignment="0" applyProtection="0"/>
    <xf numFmtId="0" fontId="29" fillId="0" borderId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38" fillId="16" borderId="24" applyNumberFormat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3" fillId="0" borderId="28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4" fillId="0" borderId="29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30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23" fillId="16" borderId="24" applyNumberFormat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6" fillId="0" borderId="31" applyNumberFormat="0" applyFill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39" fillId="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31" fillId="8" borderId="27" applyNumberFormat="0" applyFon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24" fillId="16" borderId="25" applyNumberFormat="0" applyAlignment="0" applyProtection="0"/>
    <xf numFmtId="0" fontId="30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7" fillId="0" borderId="32" applyNumberFormat="0" applyFill="0" applyAlignment="0" applyProtection="0"/>
    <xf numFmtId="0" fontId="20" fillId="0" borderId="0"/>
  </cellStyleXfs>
  <cellXfs count="170">
    <xf numFmtId="0" fontId="0" fillId="0" borderId="0" xfId="0"/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0" fillId="0" borderId="0" xfId="0" applyAlignment="1">
      <alignment horizontal="left"/>
    </xf>
    <xf numFmtId="0" fontId="1" fillId="0" borderId="0" xfId="0" applyFont="1" applyAlignment="1" applyProtection="1">
      <alignment horizontal="left"/>
      <protection locked="0" hidden="1"/>
    </xf>
    <xf numFmtId="0" fontId="4" fillId="0" borderId="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/>
    <xf numFmtId="0" fontId="0" fillId="0" borderId="0" xfId="0" applyAlignment="1">
      <alignment vertical="center"/>
    </xf>
    <xf numFmtId="0" fontId="0" fillId="2" borderId="0" xfId="0" applyFill="1"/>
    <xf numFmtId="0" fontId="4" fillId="0" borderId="2" xfId="0" applyFont="1" applyBorder="1" applyAlignment="1">
      <alignment horizontal="left" vertical="center"/>
    </xf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1" fillId="0" borderId="0" xfId="0" applyFont="1" applyAlignment="1" applyProtection="1">
      <alignment vertical="center" wrapText="1"/>
      <protection hidden="1"/>
    </xf>
    <xf numFmtId="0" fontId="1" fillId="0" borderId="0" xfId="0" applyFont="1" applyAlignment="1" applyProtection="1">
      <alignment vertical="center" textRotation="90" wrapText="1"/>
      <protection hidden="1"/>
    </xf>
    <xf numFmtId="0" fontId="4" fillId="0" borderId="2" xfId="0" applyFont="1" applyBorder="1" applyAlignment="1">
      <alignment horizontal="left" wrapText="1"/>
    </xf>
    <xf numFmtId="165" fontId="1" fillId="0" borderId="2" xfId="0" applyNumberFormat="1" applyFont="1" applyBorder="1" applyAlignment="1" applyProtection="1">
      <alignment horizontal="center" vertical="center"/>
      <protection hidden="1"/>
    </xf>
    <xf numFmtId="164" fontId="1" fillId="0" borderId="2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64" fontId="1" fillId="0" borderId="2" xfId="0" quotePrefix="1" applyNumberFormat="1" applyFont="1" applyBorder="1" applyAlignment="1">
      <alignment horizontal="center" vertical="center"/>
    </xf>
    <xf numFmtId="1" fontId="1" fillId="0" borderId="2" xfId="0" applyNumberFormat="1" applyFont="1" applyBorder="1" applyAlignment="1" applyProtection="1">
      <alignment horizontal="center" vertical="center"/>
      <protection hidden="1"/>
    </xf>
    <xf numFmtId="164" fontId="1" fillId="0" borderId="2" xfId="0" applyNumberFormat="1" applyFont="1" applyBorder="1" applyAlignment="1" applyProtection="1">
      <alignment horizontal="center" vertical="center"/>
      <protection hidden="1"/>
    </xf>
    <xf numFmtId="164" fontId="1" fillId="0" borderId="2" xfId="0" quotePrefix="1" applyNumberFormat="1" applyFont="1" applyBorder="1" applyAlignment="1" applyProtection="1">
      <alignment horizontal="center" vertical="center"/>
      <protection hidden="1"/>
    </xf>
    <xf numFmtId="164" fontId="1" fillId="0" borderId="2" xfId="0" quotePrefix="1" applyNumberFormat="1" applyFont="1" applyBorder="1" applyAlignment="1" applyProtection="1">
      <alignment horizontal="center" vertical="center" wrapText="1"/>
      <protection hidden="1"/>
    </xf>
    <xf numFmtId="1" fontId="1" fillId="0" borderId="2" xfId="2" applyNumberFormat="1" applyBorder="1" applyAlignment="1" applyProtection="1">
      <alignment horizontal="center" vertical="center"/>
      <protection hidden="1"/>
    </xf>
    <xf numFmtId="0" fontId="9" fillId="0" borderId="0" xfId="0" applyFont="1" applyAlignment="1">
      <alignment horizontal="left"/>
    </xf>
    <xf numFmtId="0" fontId="1" fillId="0" borderId="2" xfId="0" applyFont="1" applyBorder="1" applyAlignment="1">
      <alignment horizontal="center" wrapText="1"/>
    </xf>
    <xf numFmtId="1" fontId="1" fillId="0" borderId="2" xfId="0" applyNumberFormat="1" applyFont="1" applyBorder="1" applyAlignment="1" applyProtection="1">
      <alignment horizontal="center" vertical="center"/>
      <protection locked="0" hidden="1"/>
    </xf>
    <xf numFmtId="164" fontId="1" fillId="0" borderId="2" xfId="0" applyNumberFormat="1" applyFont="1" applyBorder="1" applyAlignment="1" applyProtection="1">
      <alignment horizontal="center" vertical="center"/>
      <protection locked="0" hidden="1"/>
    </xf>
    <xf numFmtId="164" fontId="1" fillId="0" borderId="2" xfId="0" quotePrefix="1" applyNumberFormat="1" applyFont="1" applyBorder="1" applyAlignment="1" applyProtection="1">
      <alignment horizontal="center" vertical="center"/>
      <protection locked="0" hidden="1"/>
    </xf>
    <xf numFmtId="0" fontId="1" fillId="0" borderId="2" xfId="0" applyFont="1" applyBorder="1" applyAlignment="1" applyProtection="1">
      <alignment horizontal="center"/>
      <protection hidden="1"/>
    </xf>
    <xf numFmtId="164" fontId="1" fillId="0" borderId="2" xfId="0" applyNumberFormat="1" applyFont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>
      <alignment horizontal="center"/>
    </xf>
    <xf numFmtId="1" fontId="1" fillId="0" borderId="2" xfId="0" quotePrefix="1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1" fontId="1" fillId="0" borderId="2" xfId="0" applyNumberFormat="1" applyFont="1" applyBorder="1" applyAlignment="1" applyProtection="1">
      <alignment horizontal="center"/>
      <protection hidden="1"/>
    </xf>
    <xf numFmtId="164" fontId="1" fillId="0" borderId="2" xfId="0" applyNumberFormat="1" applyFont="1" applyBorder="1" applyAlignment="1" applyProtection="1">
      <alignment horizontal="center"/>
      <protection hidden="1"/>
    </xf>
    <xf numFmtId="164" fontId="1" fillId="0" borderId="2" xfId="0" quotePrefix="1" applyNumberFormat="1" applyFont="1" applyBorder="1" applyAlignment="1" applyProtection="1">
      <alignment horizontal="center"/>
      <protection hidden="1"/>
    </xf>
    <xf numFmtId="0" fontId="1" fillId="0" borderId="2" xfId="0" applyFont="1" applyBorder="1" applyAlignment="1" applyProtection="1">
      <alignment horizontal="center" wrapText="1"/>
      <protection hidden="1"/>
    </xf>
    <xf numFmtId="0" fontId="1" fillId="0" borderId="2" xfId="0" applyFont="1" applyBorder="1" applyAlignment="1" applyProtection="1">
      <alignment horizontal="center" shrinkToFit="1"/>
      <protection hidden="1"/>
    </xf>
    <xf numFmtId="0" fontId="4" fillId="0" borderId="2" xfId="0" applyFont="1" applyBorder="1" applyAlignment="1">
      <alignment vertical="center" wrapText="1"/>
    </xf>
    <xf numFmtId="0" fontId="1" fillId="0" borderId="8" xfId="0" applyFont="1" applyBorder="1" applyAlignment="1">
      <alignment horizontal="center" wrapText="1"/>
    </xf>
    <xf numFmtId="0" fontId="1" fillId="0" borderId="8" xfId="0" applyFont="1" applyBorder="1" applyAlignment="1" applyProtection="1">
      <alignment horizontal="center"/>
      <protection hidden="1"/>
    </xf>
    <xf numFmtId="0" fontId="1" fillId="0" borderId="8" xfId="0" applyFont="1" applyBorder="1" applyAlignment="1" applyProtection="1">
      <alignment horizontal="center" wrapText="1"/>
      <protection hidden="1"/>
    </xf>
    <xf numFmtId="0" fontId="1" fillId="0" borderId="16" xfId="0" applyFont="1" applyBorder="1" applyAlignment="1">
      <alignment horizontal="center" wrapText="1"/>
    </xf>
    <xf numFmtId="0" fontId="1" fillId="0" borderId="16" xfId="0" applyFont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alignment horizontal="center"/>
      <protection hidden="1"/>
    </xf>
    <xf numFmtId="0" fontId="4" fillId="0" borderId="7" xfId="0" applyFont="1" applyBorder="1" applyAlignment="1">
      <alignment horizontal="left" wrapText="1"/>
    </xf>
    <xf numFmtId="0" fontId="2" fillId="0" borderId="2" xfId="0" applyFont="1" applyBorder="1" applyAlignment="1">
      <alignment horizontal="center"/>
    </xf>
    <xf numFmtId="164" fontId="1" fillId="0" borderId="0" xfId="0" applyNumberFormat="1" applyFont="1" applyAlignment="1" applyProtection="1">
      <alignment horizontal="center" vertical="center"/>
      <protection hidden="1"/>
    </xf>
    <xf numFmtId="1" fontId="1" fillId="0" borderId="2" xfId="0" quotePrefix="1" applyNumberFormat="1" applyFont="1" applyBorder="1" applyAlignment="1" applyProtection="1">
      <alignment horizontal="center" vertical="center"/>
      <protection hidden="1"/>
    </xf>
    <xf numFmtId="0" fontId="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1" fontId="1" fillId="2" borderId="2" xfId="0" quotePrefix="1" applyNumberFormat="1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8" fillId="5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165" fontId="19" fillId="0" borderId="2" xfId="0" applyNumberFormat="1" applyFont="1" applyBorder="1" applyAlignment="1" applyProtection="1">
      <alignment horizontal="center" vertical="center"/>
      <protection hidden="1"/>
    </xf>
    <xf numFmtId="1" fontId="19" fillId="0" borderId="2" xfId="0" applyNumberFormat="1" applyFont="1" applyBorder="1" applyAlignment="1">
      <alignment horizontal="center" vertical="center"/>
    </xf>
    <xf numFmtId="164" fontId="19" fillId="0" borderId="2" xfId="0" applyNumberFormat="1" applyFont="1" applyBorder="1" applyAlignment="1">
      <alignment horizontal="center" vertical="center"/>
    </xf>
    <xf numFmtId="164" fontId="19" fillId="0" borderId="2" xfId="0" quotePrefix="1" applyNumberFormat="1" applyFont="1" applyBorder="1" applyAlignment="1">
      <alignment horizontal="center" vertical="center"/>
    </xf>
    <xf numFmtId="1" fontId="19" fillId="0" borderId="2" xfId="0" applyNumberFormat="1" applyFont="1" applyBorder="1" applyAlignment="1" applyProtection="1">
      <alignment horizontal="center" vertical="center"/>
      <protection hidden="1"/>
    </xf>
    <xf numFmtId="1" fontId="1" fillId="0" borderId="21" xfId="0" applyNumberFormat="1" applyFont="1" applyBorder="1" applyAlignment="1" applyProtection="1">
      <alignment horizontal="center" vertical="center"/>
      <protection hidden="1"/>
    </xf>
    <xf numFmtId="1" fontId="1" fillId="0" borderId="22" xfId="0" applyNumberFormat="1" applyFont="1" applyBorder="1" applyAlignment="1" applyProtection="1">
      <alignment horizontal="center" vertical="center"/>
      <protection hidden="1"/>
    </xf>
    <xf numFmtId="164" fontId="1" fillId="0" borderId="7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 applyProtection="1">
      <alignment horizontal="center" vertical="center"/>
      <protection hidden="1"/>
    </xf>
    <xf numFmtId="164" fontId="1" fillId="0" borderId="7" xfId="0" applyNumberFormat="1" applyFont="1" applyBorder="1" applyAlignment="1" applyProtection="1">
      <alignment horizontal="center" vertical="center"/>
      <protection locked="0" hidden="1"/>
    </xf>
    <xf numFmtId="164" fontId="1" fillId="0" borderId="7" xfId="0" applyNumberFormat="1" applyFont="1" applyBorder="1" applyAlignment="1" applyProtection="1">
      <alignment horizontal="center" vertical="center"/>
      <protection hidden="1"/>
    </xf>
    <xf numFmtId="1" fontId="1" fillId="0" borderId="5" xfId="0" applyNumberFormat="1" applyFont="1" applyBorder="1" applyAlignment="1" applyProtection="1">
      <alignment horizontal="center" vertical="center"/>
      <protection locked="0" hidden="1"/>
    </xf>
    <xf numFmtId="1" fontId="1" fillId="0" borderId="23" xfId="0" applyNumberFormat="1" applyFont="1" applyBorder="1" applyAlignment="1" applyProtection="1">
      <alignment horizontal="center" vertical="center"/>
      <protection hidden="1"/>
    </xf>
    <xf numFmtId="0" fontId="9" fillId="0" borderId="0" xfId="0" applyFont="1" applyAlignment="1">
      <alignment vertical="top"/>
    </xf>
    <xf numFmtId="1" fontId="8" fillId="0" borderId="2" xfId="0" applyNumberFormat="1" applyFont="1" applyBorder="1" applyAlignment="1" applyProtection="1">
      <alignment horizontal="center" vertical="center"/>
      <protection hidden="1"/>
    </xf>
    <xf numFmtId="1" fontId="1" fillId="2" borderId="2" xfId="0" applyNumberFormat="1" applyFont="1" applyFill="1" applyBorder="1" applyAlignment="1" applyProtection="1">
      <alignment horizontal="center" vertical="center"/>
      <protection hidden="1"/>
    </xf>
    <xf numFmtId="1" fontId="8" fillId="2" borderId="2" xfId="0" applyNumberFormat="1" applyFont="1" applyFill="1" applyBorder="1" applyAlignment="1" applyProtection="1">
      <alignment horizontal="center" vertical="center"/>
      <protection hidden="1"/>
    </xf>
    <xf numFmtId="166" fontId="1" fillId="0" borderId="2" xfId="0" applyNumberFormat="1" applyFont="1" applyBorder="1" applyAlignment="1" applyProtection="1">
      <alignment horizontal="center" vertical="center"/>
      <protection hidden="1"/>
    </xf>
    <xf numFmtId="0" fontId="4" fillId="0" borderId="8" xfId="0" applyFont="1" applyBorder="1" applyAlignment="1">
      <alignment vertical="center" textRotation="90" wrapText="1"/>
    </xf>
    <xf numFmtId="0" fontId="2" fillId="0" borderId="8" xfId="0" applyFont="1" applyBorder="1" applyAlignment="1">
      <alignment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6" fillId="0" borderId="2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2" fillId="0" borderId="6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" fontId="1" fillId="0" borderId="8" xfId="0" applyNumberFormat="1" applyFont="1" applyBorder="1" applyAlignment="1" applyProtection="1">
      <alignment horizontal="center" vertical="center" textRotation="90" wrapText="1"/>
      <protection hidden="1"/>
    </xf>
    <xf numFmtId="1" fontId="1" fillId="0" borderId="3" xfId="0" applyNumberFormat="1" applyFont="1" applyBorder="1" applyAlignment="1" applyProtection="1">
      <alignment horizontal="center" vertical="center" textRotation="90" wrapText="1"/>
      <protection hidden="1"/>
    </xf>
    <xf numFmtId="0" fontId="4" fillId="0" borderId="8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8" fillId="0" borderId="6" xfId="0" applyFont="1" applyBorder="1" applyAlignment="1">
      <alignment horizontal="center" vertical="center" textRotation="90" wrapText="1"/>
    </xf>
    <xf numFmtId="0" fontId="8" fillId="0" borderId="8" xfId="0" applyFont="1" applyBorder="1" applyAlignment="1">
      <alignment horizontal="center" vertical="center" textRotation="90" wrapText="1"/>
    </xf>
    <xf numFmtId="0" fontId="15" fillId="0" borderId="2" xfId="0" applyFont="1" applyBorder="1" applyAlignment="1">
      <alignment horizontal="center" vertical="center" textRotation="90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1" fillId="0" borderId="0" xfId="0" applyFont="1" applyAlignment="1" applyProtection="1">
      <alignment horizontal="center" vertical="center" textRotation="90" wrapText="1"/>
      <protection hidden="1"/>
    </xf>
    <xf numFmtId="0" fontId="4" fillId="0" borderId="6" xfId="0" applyFont="1" applyBorder="1" applyAlignment="1">
      <alignment horizontal="center" vertical="center" textRotation="90" wrapText="1"/>
    </xf>
    <xf numFmtId="0" fontId="15" fillId="0" borderId="8" xfId="0" applyFont="1" applyBorder="1" applyAlignment="1">
      <alignment horizontal="center" vertical="center" textRotation="90" wrapText="1"/>
    </xf>
    <xf numFmtId="0" fontId="15" fillId="0" borderId="6" xfId="0" applyFont="1" applyBorder="1" applyAlignment="1">
      <alignment horizontal="center" vertical="center" textRotation="90" wrapText="1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10" xfId="0" applyFont="1" applyBorder="1" applyAlignment="1">
      <alignment horizontal="center" vertical="center" textRotation="90" wrapText="1"/>
    </xf>
    <xf numFmtId="0" fontId="4" fillId="0" borderId="17" xfId="0" applyFont="1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textRotation="90" wrapText="1"/>
    </xf>
    <xf numFmtId="0" fontId="4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textRotation="90" wrapText="1"/>
    </xf>
    <xf numFmtId="0" fontId="4" fillId="3" borderId="7" xfId="0" applyFont="1" applyFill="1" applyBorder="1" applyAlignment="1">
      <alignment horizontal="center" wrapText="1"/>
    </xf>
    <xf numFmtId="0" fontId="4" fillId="3" borderId="1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textRotation="90" wrapText="1"/>
    </xf>
    <xf numFmtId="0" fontId="4" fillId="3" borderId="7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5" fontId="6" fillId="3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5" fontId="1" fillId="3" borderId="2" xfId="0" applyNumberFormat="1" applyFont="1" applyFill="1" applyBorder="1" applyAlignment="1" applyProtection="1">
      <alignment horizontal="center" vertical="center"/>
      <protection hidden="1"/>
    </xf>
    <xf numFmtId="165" fontId="15" fillId="3" borderId="7" xfId="0" applyNumberFormat="1" applyFont="1" applyFill="1" applyBorder="1" applyAlignment="1" applyProtection="1">
      <alignment horizontal="center" vertical="center"/>
      <protection hidden="1"/>
    </xf>
    <xf numFmtId="165" fontId="15" fillId="3" borderId="14" xfId="0" applyNumberFormat="1" applyFont="1" applyFill="1" applyBorder="1" applyAlignment="1" applyProtection="1">
      <alignment horizontal="center" vertical="center"/>
      <protection hidden="1"/>
    </xf>
    <xf numFmtId="165" fontId="15" fillId="3" borderId="5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Font="1" applyBorder="1" applyAlignment="1">
      <alignment horizontal="center" vertical="center" wrapText="1"/>
    </xf>
    <xf numFmtId="165" fontId="6" fillId="3" borderId="7" xfId="0" applyNumberFormat="1" applyFont="1" applyFill="1" applyBorder="1" applyAlignment="1" applyProtection="1">
      <alignment horizontal="center" vertical="center"/>
      <protection hidden="1"/>
    </xf>
    <xf numFmtId="165" fontId="6" fillId="3" borderId="14" xfId="0" applyNumberFormat="1" applyFont="1" applyFill="1" applyBorder="1" applyAlignment="1" applyProtection="1">
      <alignment horizontal="center" vertical="center"/>
      <protection hidden="1"/>
    </xf>
    <xf numFmtId="165" fontId="6" fillId="3" borderId="5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Font="1" applyFill="1" applyBorder="1" applyAlignment="1" applyProtection="1">
      <alignment horizontal="center" wrapText="1"/>
      <protection hidden="1"/>
    </xf>
    <xf numFmtId="0" fontId="1" fillId="0" borderId="0" xfId="0" applyFont="1" applyBorder="1" applyAlignment="1">
      <alignment horizontal="center"/>
    </xf>
    <xf numFmtId="166" fontId="1" fillId="0" borderId="0" xfId="0" applyNumberFormat="1" applyFont="1" applyBorder="1" applyAlignment="1" applyProtection="1">
      <alignment horizontal="center" vertical="center"/>
      <protection hidden="1"/>
    </xf>
    <xf numFmtId="1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" fontId="1" fillId="0" borderId="0" xfId="0" applyNumberFormat="1" applyFont="1" applyBorder="1" applyAlignment="1" applyProtection="1">
      <alignment horizontal="center" vertical="center"/>
      <protection hidden="1"/>
    </xf>
    <xf numFmtId="0" fontId="4" fillId="0" borderId="7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5" fillId="0" borderId="3" xfId="0" applyFont="1" applyBorder="1" applyAlignment="1">
      <alignment horizontal="center" vertical="center" textRotation="90" wrapText="1"/>
    </xf>
  </cellXfs>
  <cellStyles count="1998">
    <cellStyle name="20% - Accent1 2" xfId="10" xr:uid="{F12E6141-0000-4C6B-B4E1-06BAC7213975}"/>
    <cellStyle name="20% - Accent1 2 10" xfId="11" xr:uid="{A4D57F4C-D4C8-4B97-834D-DEB945979AC4}"/>
    <cellStyle name="20% - Accent1 2 11" xfId="12" xr:uid="{46539B8F-F22A-4FF4-9ADB-8EEACB4B8C02}"/>
    <cellStyle name="20% - Accent1 2 12" xfId="13" xr:uid="{4A00E46C-D6F3-4539-AD67-525E485DA65D}"/>
    <cellStyle name="20% - Accent1 2 13" xfId="14" xr:uid="{3A7B2136-4D28-4B0D-9C23-B1B7577FC296}"/>
    <cellStyle name="20% - Accent1 2 14" xfId="15" xr:uid="{8EE2639A-0A57-49D1-863C-C8DBFF5C10A8}"/>
    <cellStyle name="20% - Accent1 2 15" xfId="16" xr:uid="{C50310A4-D0ED-47BA-B95E-804D9D7AFB04}"/>
    <cellStyle name="20% - Accent1 2 16" xfId="17" xr:uid="{E6B6E7E1-EC52-4668-921B-C388ACA0EA91}"/>
    <cellStyle name="20% - Accent1 2 17" xfId="18" xr:uid="{E3D27951-150A-4F18-A203-1F2D12D59782}"/>
    <cellStyle name="20% - Accent1 2 18" xfId="19" xr:uid="{B0834DFF-2834-4238-AE52-F4DB71C74D65}"/>
    <cellStyle name="20% - Accent1 2 19" xfId="20" xr:uid="{50AF8A3B-D31A-49F8-BC5F-6385E02C4B24}"/>
    <cellStyle name="20% - Accent1 2 2" xfId="21" xr:uid="{BAA065C4-70E7-4CFE-A515-C078BF1753F4}"/>
    <cellStyle name="20% - Accent1 2 20" xfId="22" xr:uid="{650DF073-4479-44DD-96D8-C896E549819D}"/>
    <cellStyle name="20% - Accent1 2 21" xfId="23" xr:uid="{68A9D71E-2C03-41FF-BA75-0BD3720FCE7A}"/>
    <cellStyle name="20% - Accent1 2 22" xfId="24" xr:uid="{DDE9A853-AF60-416D-86A8-CDB826A2FE3B}"/>
    <cellStyle name="20% - Accent1 2 23" xfId="25" xr:uid="{53BA8C3E-1874-481A-958C-739AD6C9BD0A}"/>
    <cellStyle name="20% - Accent1 2 24" xfId="26" xr:uid="{8B9AC437-A5C2-442D-BFA7-39B4A7ECF197}"/>
    <cellStyle name="20% - Accent1 2 25" xfId="27" xr:uid="{3F0C9C32-8991-4688-A6EA-826E5B5E25AF}"/>
    <cellStyle name="20% - Accent1 2 26" xfId="28" xr:uid="{D0E3B8E6-87D7-4CA1-BB47-A07FA43F011C}"/>
    <cellStyle name="20% - Accent1 2 27" xfId="29" xr:uid="{103290B3-4D55-4592-9FC2-0E364519B302}"/>
    <cellStyle name="20% - Accent1 2 28" xfId="30" xr:uid="{30924028-7FEF-4A38-9693-810EDDA9125D}"/>
    <cellStyle name="20% - Accent1 2 29" xfId="31" xr:uid="{922DDDEE-7EA1-4C85-B893-14D076E233EE}"/>
    <cellStyle name="20% - Accent1 2 3" xfId="32" xr:uid="{E367E0F3-5C3F-43D9-B14B-ABFCC3FD3E1B}"/>
    <cellStyle name="20% - Accent1 2 30" xfId="33" xr:uid="{4DF72BD9-877E-4758-9F56-141BF9983EA4}"/>
    <cellStyle name="20% - Accent1 2 31" xfId="34" xr:uid="{0798D1E2-B356-4908-B202-F63FB6AF260B}"/>
    <cellStyle name="20% - Accent1 2 32" xfId="35" xr:uid="{296966D3-A3A3-4351-886E-BF44668A7EB8}"/>
    <cellStyle name="20% - Accent1 2 33" xfId="36" xr:uid="{00395548-63B4-4BA4-8FC2-7E29C938C4CA}"/>
    <cellStyle name="20% - Accent1 2 34" xfId="37" xr:uid="{2A77F8F8-E6F4-4C81-BB68-9534375F727B}"/>
    <cellStyle name="20% - Accent1 2 35" xfId="38" xr:uid="{B231D98A-B2D0-41DD-ABC9-8F61DCBE9E1F}"/>
    <cellStyle name="20% - Accent1 2 36" xfId="39" xr:uid="{183FD3D7-5A12-4B08-88ED-71EB1B764B69}"/>
    <cellStyle name="20% - Accent1 2 37" xfId="40" xr:uid="{C1AB8318-A6D6-4DF4-AF7F-E733A43669BB}"/>
    <cellStyle name="20% - Accent1 2 38" xfId="41" xr:uid="{F0EEED2D-1EA3-4EF3-BFBA-EBF9F4BCF79C}"/>
    <cellStyle name="20% - Accent1 2 39" xfId="42" xr:uid="{7732C249-BA3C-44EF-87E2-9C96119CFB12}"/>
    <cellStyle name="20% - Accent1 2 4" xfId="43" xr:uid="{3640842A-82AA-4EE1-A005-CDB91E7513ED}"/>
    <cellStyle name="20% - Accent1 2 40" xfId="44" xr:uid="{05A1DA31-17C7-499E-89D7-82F3A846B663}"/>
    <cellStyle name="20% - Accent1 2 41" xfId="45" xr:uid="{85F788FC-9D1C-4E95-9217-BB1BEC769B5F}"/>
    <cellStyle name="20% - Accent1 2 42" xfId="46" xr:uid="{2CBA31AE-67F6-424F-B357-6A04913EDAAF}"/>
    <cellStyle name="20% - Accent1 2 43" xfId="47" xr:uid="{D2013FE6-ACB2-47B5-B638-786344361A4B}"/>
    <cellStyle name="20% - Accent1 2 44" xfId="48" xr:uid="{3FF87211-9D24-4A66-9059-780E2A8ED4A3}"/>
    <cellStyle name="20% - Accent1 2 45" xfId="49" xr:uid="{EB191C6D-676E-4F1E-9C1F-8E4E20DC0F3C}"/>
    <cellStyle name="20% - Accent1 2 46" xfId="50" xr:uid="{5EF92263-274F-4AAB-9A30-4EE84988F06F}"/>
    <cellStyle name="20% - Accent1 2 47" xfId="51" xr:uid="{E42B22A0-60FD-4C1A-BCCE-74FCEE617559}"/>
    <cellStyle name="20% - Accent1 2 48" xfId="52" xr:uid="{9D1ADCBC-CED2-441C-AD91-2986AB27BCDD}"/>
    <cellStyle name="20% - Accent1 2 49" xfId="53" xr:uid="{1CB38682-D435-4934-8138-48F0ACBA5205}"/>
    <cellStyle name="20% - Accent1 2 5" xfId="54" xr:uid="{D2102495-063C-4893-A9E1-BB42BB44B513}"/>
    <cellStyle name="20% - Accent1 2 6" xfId="55" xr:uid="{E7296C9C-F0A9-4B2C-938D-31BB2CBA33AE}"/>
    <cellStyle name="20% - Accent1 2 7" xfId="56" xr:uid="{9BCB57E5-15CF-4CCD-AC4E-9153F939811C}"/>
    <cellStyle name="20% - Accent1 2 8" xfId="57" xr:uid="{3EB570F4-A01D-42F4-9B85-C5CF5BA8521C}"/>
    <cellStyle name="20% - Accent1 2 9" xfId="58" xr:uid="{C57BA336-1CC8-4C5A-8241-E2F77784F3AE}"/>
    <cellStyle name="20% - Accent2 2" xfId="59" xr:uid="{8BB78F1B-7769-43EA-BAA6-58636422B30A}"/>
    <cellStyle name="20% - Accent2 2 10" xfId="60" xr:uid="{73C6DA0A-A054-4661-8689-A95BD9B5BF4E}"/>
    <cellStyle name="20% - Accent2 2 11" xfId="61" xr:uid="{7AF2EE6F-4040-450E-A029-E51EED3BE445}"/>
    <cellStyle name="20% - Accent2 2 12" xfId="62" xr:uid="{0B087445-1FAA-4E90-B30F-145262BB48F4}"/>
    <cellStyle name="20% - Accent2 2 13" xfId="63" xr:uid="{335AF7E5-60B7-4181-B672-C6E0A739EA28}"/>
    <cellStyle name="20% - Accent2 2 14" xfId="64" xr:uid="{21750807-007D-4CB3-BFAC-E04AB414854F}"/>
    <cellStyle name="20% - Accent2 2 15" xfId="65" xr:uid="{CB41FE9B-2615-40B4-AA8A-EB4A2760074A}"/>
    <cellStyle name="20% - Accent2 2 16" xfId="66" xr:uid="{66660557-56C2-4727-95DC-E796E773391C}"/>
    <cellStyle name="20% - Accent2 2 17" xfId="67" xr:uid="{471E69A8-56BF-405A-8606-72677B8FD930}"/>
    <cellStyle name="20% - Accent2 2 18" xfId="68" xr:uid="{C8D4CB46-6E0E-434C-B61B-BE5274B08187}"/>
    <cellStyle name="20% - Accent2 2 19" xfId="69" xr:uid="{2C51DFEC-BB72-4F5D-A0CE-E782E39D121E}"/>
    <cellStyle name="20% - Accent2 2 2" xfId="70" xr:uid="{8CD86FFF-9AA6-48B7-9F3A-3A526782FFE5}"/>
    <cellStyle name="20% - Accent2 2 20" xfId="71" xr:uid="{5466A79C-72F3-4C42-B129-AF4B851FBE41}"/>
    <cellStyle name="20% - Accent2 2 21" xfId="72" xr:uid="{BE61C4A2-B0BC-4E5C-B0C7-248F362CCB60}"/>
    <cellStyle name="20% - Accent2 2 22" xfId="73" xr:uid="{8673F7FE-FEC6-4B54-9CFC-F16CC410B1D7}"/>
    <cellStyle name="20% - Accent2 2 23" xfId="74" xr:uid="{69F97477-23A6-43DA-9743-6F79C8F052C7}"/>
    <cellStyle name="20% - Accent2 2 24" xfId="75" xr:uid="{89E6DDAA-4FAA-451B-BD89-D2048D228BDC}"/>
    <cellStyle name="20% - Accent2 2 25" xfId="76" xr:uid="{DB900A07-CA18-443C-AD2A-4A5E8C4FFCFB}"/>
    <cellStyle name="20% - Accent2 2 26" xfId="77" xr:uid="{F94737B6-0EA1-4E2B-BEF4-2A77165761A3}"/>
    <cellStyle name="20% - Accent2 2 27" xfId="78" xr:uid="{55390F2C-7500-450A-AB58-9664433763FA}"/>
    <cellStyle name="20% - Accent2 2 28" xfId="79" xr:uid="{A1BB1E35-44E5-462F-8643-91839ACF7F02}"/>
    <cellStyle name="20% - Accent2 2 29" xfId="80" xr:uid="{4375F3B5-589B-46A3-B8A4-14A6497EE3B0}"/>
    <cellStyle name="20% - Accent2 2 3" xfId="81" xr:uid="{323D0B55-8EF1-4FCC-8D4B-95C53C778F88}"/>
    <cellStyle name="20% - Accent2 2 30" xfId="82" xr:uid="{A6795878-D5AB-4D86-BFD6-4E314F770FC9}"/>
    <cellStyle name="20% - Accent2 2 31" xfId="83" xr:uid="{AEB44589-D7CB-43AF-B74B-4D7F218FBF81}"/>
    <cellStyle name="20% - Accent2 2 32" xfId="84" xr:uid="{3ADC73E9-B271-48BB-8507-F8DFDD8A5219}"/>
    <cellStyle name="20% - Accent2 2 33" xfId="85" xr:uid="{D055AE58-DCF2-4158-8C99-B33CB2D51271}"/>
    <cellStyle name="20% - Accent2 2 34" xfId="86" xr:uid="{79D289EE-63DE-42FF-A875-732ED290C1C0}"/>
    <cellStyle name="20% - Accent2 2 35" xfId="87" xr:uid="{D6E011D1-049A-4FC6-A09F-EABF96BD3113}"/>
    <cellStyle name="20% - Accent2 2 36" xfId="88" xr:uid="{C16A9984-D0CE-4925-9F37-22C8A535B1FE}"/>
    <cellStyle name="20% - Accent2 2 37" xfId="89" xr:uid="{8F8A1A99-7FBB-46E2-BFBB-A5F5D69FCE5D}"/>
    <cellStyle name="20% - Accent2 2 38" xfId="90" xr:uid="{F37F6239-9DA9-494C-8A48-FD253F5D2720}"/>
    <cellStyle name="20% - Accent2 2 39" xfId="91" xr:uid="{9A723A47-870E-46B2-B0FF-146102C5E63C}"/>
    <cellStyle name="20% - Accent2 2 4" xfId="92" xr:uid="{83ED1E83-A5D0-4047-BCF0-ABA376919777}"/>
    <cellStyle name="20% - Accent2 2 40" xfId="93" xr:uid="{47659975-BA94-49F6-8463-70B888E3674D}"/>
    <cellStyle name="20% - Accent2 2 41" xfId="94" xr:uid="{143FFB10-4A2F-4F6D-88E0-0CA4AE0E381C}"/>
    <cellStyle name="20% - Accent2 2 42" xfId="95" xr:uid="{9A811737-14B4-4E36-8CE1-B949D3858D4E}"/>
    <cellStyle name="20% - Accent2 2 43" xfId="96" xr:uid="{F0882F4A-B49C-4289-9AD1-CBAB3B70DFFD}"/>
    <cellStyle name="20% - Accent2 2 44" xfId="97" xr:uid="{A09D351A-027E-4EED-A081-F6C774790897}"/>
    <cellStyle name="20% - Accent2 2 45" xfId="98" xr:uid="{6330CAF5-2B46-4BC3-A9DD-BCE57FA7F789}"/>
    <cellStyle name="20% - Accent2 2 46" xfId="99" xr:uid="{E76F0A81-C59F-43C2-9130-6C28758EA1F3}"/>
    <cellStyle name="20% - Accent2 2 47" xfId="100" xr:uid="{F736850A-9D56-402F-9661-20B34D9027F3}"/>
    <cellStyle name="20% - Accent2 2 48" xfId="101" xr:uid="{1AD608CB-12A0-4260-A50F-5FC5C115BD40}"/>
    <cellStyle name="20% - Accent2 2 49" xfId="102" xr:uid="{98BCBEDA-7CB9-48BA-9A9D-4392F0AAB325}"/>
    <cellStyle name="20% - Accent2 2 5" xfId="103" xr:uid="{728F3CED-0478-4AEB-AC8A-AC7D9815ED8D}"/>
    <cellStyle name="20% - Accent2 2 6" xfId="104" xr:uid="{956AB332-617B-4EA1-9C2D-9AD3EC862F6E}"/>
    <cellStyle name="20% - Accent2 2 7" xfId="105" xr:uid="{AFE23146-E36F-4A45-ABDB-DF3D47C748E4}"/>
    <cellStyle name="20% - Accent2 2 8" xfId="106" xr:uid="{D232BAF7-8250-4601-9FFE-52134B015414}"/>
    <cellStyle name="20% - Accent2 2 9" xfId="107" xr:uid="{85DD5BB4-2EC8-473D-ADC2-0EA999728CF4}"/>
    <cellStyle name="20% - Accent3 2" xfId="108" xr:uid="{B6B30D2A-B799-425E-BF0A-2C6055735F0E}"/>
    <cellStyle name="20% - Accent3 2 10" xfId="109" xr:uid="{2E692BB4-8A45-4E9F-B196-7C7711A1095B}"/>
    <cellStyle name="20% - Accent3 2 11" xfId="110" xr:uid="{471A8720-3C78-4C42-9DA5-1CD57D3B4D04}"/>
    <cellStyle name="20% - Accent3 2 12" xfId="111" xr:uid="{4A45D987-A7AB-4DAD-A76C-F07486F707E1}"/>
    <cellStyle name="20% - Accent3 2 13" xfId="112" xr:uid="{24BF6D97-D5D6-4C16-945A-6262BFDFA3F2}"/>
    <cellStyle name="20% - Accent3 2 14" xfId="113" xr:uid="{D64D4846-C88D-49C5-B02F-92FB14A71C72}"/>
    <cellStyle name="20% - Accent3 2 15" xfId="114" xr:uid="{61C4653F-DD6F-40A4-9A4E-4A98E3A75D8C}"/>
    <cellStyle name="20% - Accent3 2 16" xfId="115" xr:uid="{2D95FB5B-F195-4029-ABFB-8865BB14B09B}"/>
    <cellStyle name="20% - Accent3 2 17" xfId="116" xr:uid="{51C42EFE-BBBC-4382-AA8C-BF0BD271FBBF}"/>
    <cellStyle name="20% - Accent3 2 18" xfId="117" xr:uid="{431F45FA-B8A1-48BA-8D1B-842804F785E0}"/>
    <cellStyle name="20% - Accent3 2 19" xfId="118" xr:uid="{524D4B69-1588-4C97-B294-991BCB73F743}"/>
    <cellStyle name="20% - Accent3 2 2" xfId="119" xr:uid="{7F6874E2-FF25-47DC-B2E8-C685D22AFA56}"/>
    <cellStyle name="20% - Accent3 2 20" xfId="120" xr:uid="{7A4C3537-A8A8-431B-B122-324A7F6D798D}"/>
    <cellStyle name="20% - Accent3 2 21" xfId="121" xr:uid="{BC177865-D27A-4036-976C-0AC7D1CD7962}"/>
    <cellStyle name="20% - Accent3 2 22" xfId="122" xr:uid="{9FF7F8B0-CB22-45A4-B0C9-8B87EBDFE093}"/>
    <cellStyle name="20% - Accent3 2 23" xfId="123" xr:uid="{B0E26AE5-CA42-4D3F-9E41-1E9255EECBAD}"/>
    <cellStyle name="20% - Accent3 2 24" xfId="124" xr:uid="{5CEDE0BA-D5CE-4E91-A827-5CFB399C9D6E}"/>
    <cellStyle name="20% - Accent3 2 25" xfId="125" xr:uid="{25B94650-E188-4292-88C2-DBE1C8F4456E}"/>
    <cellStyle name="20% - Accent3 2 26" xfId="126" xr:uid="{68118061-F530-4D48-8C9A-9CD9E1FD8D51}"/>
    <cellStyle name="20% - Accent3 2 27" xfId="127" xr:uid="{0123DCA1-F99A-4D68-A3E1-96ABBAD65B67}"/>
    <cellStyle name="20% - Accent3 2 28" xfId="128" xr:uid="{E74E32CA-24EF-4780-8855-CFAA173D4781}"/>
    <cellStyle name="20% - Accent3 2 29" xfId="129" xr:uid="{CA841A7F-5500-4528-B5DC-FE5E970894B3}"/>
    <cellStyle name="20% - Accent3 2 3" xfId="130" xr:uid="{78EBDF21-6F80-4E6B-AF6B-55A0D14AA538}"/>
    <cellStyle name="20% - Accent3 2 30" xfId="131" xr:uid="{9EDE3806-AD21-4EFF-9F8C-9E6193497FA1}"/>
    <cellStyle name="20% - Accent3 2 31" xfId="132" xr:uid="{7B097D53-B9B3-4C78-8DB8-6A130B290EA2}"/>
    <cellStyle name="20% - Accent3 2 32" xfId="133" xr:uid="{5B30592C-D20B-49EF-AF67-A259FDA18740}"/>
    <cellStyle name="20% - Accent3 2 33" xfId="134" xr:uid="{6F18D908-E56A-498B-8DB0-A36E0A99B74B}"/>
    <cellStyle name="20% - Accent3 2 34" xfId="135" xr:uid="{37BB907C-F589-4334-97B0-5EFFCD86CEEB}"/>
    <cellStyle name="20% - Accent3 2 35" xfId="136" xr:uid="{5ABC5C05-E89C-4B10-B7F2-55DC020540F5}"/>
    <cellStyle name="20% - Accent3 2 36" xfId="137" xr:uid="{EF6E5287-0BF2-4BD9-8E87-57BF0D03AAE0}"/>
    <cellStyle name="20% - Accent3 2 37" xfId="138" xr:uid="{9116869A-8A70-406C-91DC-2AD3024F2873}"/>
    <cellStyle name="20% - Accent3 2 38" xfId="139" xr:uid="{D488DDFD-DECD-46BD-AF6A-C7E85A0BB41C}"/>
    <cellStyle name="20% - Accent3 2 39" xfId="140" xr:uid="{5A52C51B-6016-4C86-BC4B-4FCD32FF4570}"/>
    <cellStyle name="20% - Accent3 2 4" xfId="141" xr:uid="{DC5AF19D-1DC7-4CDD-B41B-30A074535FE5}"/>
    <cellStyle name="20% - Accent3 2 40" xfId="142" xr:uid="{1AE7E708-04B4-4542-AF1D-2BBF76A3D304}"/>
    <cellStyle name="20% - Accent3 2 41" xfId="143" xr:uid="{D3DF46BC-5AC3-460F-BA4D-568EB31C174D}"/>
    <cellStyle name="20% - Accent3 2 42" xfId="144" xr:uid="{04ABEA56-5793-404A-8DC4-78A7A246D512}"/>
    <cellStyle name="20% - Accent3 2 43" xfId="145" xr:uid="{F06A71BF-A853-4D43-8920-2870C7B80541}"/>
    <cellStyle name="20% - Accent3 2 44" xfId="146" xr:uid="{9F7D1C97-6CF1-4572-A3AD-B3A073857E9D}"/>
    <cellStyle name="20% - Accent3 2 45" xfId="147" xr:uid="{DB1F8CD5-E035-41D4-85A1-6B7520375232}"/>
    <cellStyle name="20% - Accent3 2 46" xfId="148" xr:uid="{81D8B744-1849-48C8-BDB7-4C2B09D22873}"/>
    <cellStyle name="20% - Accent3 2 47" xfId="149" xr:uid="{38AED869-C65C-4232-B31B-B599B05AC6F3}"/>
    <cellStyle name="20% - Accent3 2 48" xfId="150" xr:uid="{215202B2-1791-4625-8B62-86976804BA9E}"/>
    <cellStyle name="20% - Accent3 2 49" xfId="151" xr:uid="{C43BA76F-DC67-40EB-AB4F-6327A58ED05A}"/>
    <cellStyle name="20% - Accent3 2 5" xfId="152" xr:uid="{B276F2F7-1020-46A1-91F2-33A810C36E5B}"/>
    <cellStyle name="20% - Accent3 2 6" xfId="153" xr:uid="{7C83DB6D-C96B-4F0F-9DCA-287BCA1D7F87}"/>
    <cellStyle name="20% - Accent3 2 7" xfId="154" xr:uid="{A0B5C69B-8C85-4AB5-8707-6A4D5FF5A73A}"/>
    <cellStyle name="20% - Accent3 2 8" xfId="155" xr:uid="{9D850793-F831-49E4-8284-496B9A94FAFD}"/>
    <cellStyle name="20% - Accent3 2 9" xfId="156" xr:uid="{DD781E58-0842-449A-97D0-D87DE855E0BA}"/>
    <cellStyle name="20% - Accent4 2" xfId="157" xr:uid="{756BC1B9-1185-43C5-BFED-7EB319B65F42}"/>
    <cellStyle name="20% - Accent4 2 10" xfId="158" xr:uid="{80B282BE-2776-4308-A7A0-E1E67CF7A7E8}"/>
    <cellStyle name="20% - Accent4 2 11" xfId="159" xr:uid="{E3766966-5A99-41BB-B426-59ACE495684D}"/>
    <cellStyle name="20% - Accent4 2 12" xfId="160" xr:uid="{32EC01A3-9813-4B3D-8435-BA20CD9C7989}"/>
    <cellStyle name="20% - Accent4 2 13" xfId="161" xr:uid="{B556AA9C-4348-4354-8649-35A3FE9E8570}"/>
    <cellStyle name="20% - Accent4 2 14" xfId="162" xr:uid="{C75BBCB1-43AB-466F-9E34-0E1E73F46D0D}"/>
    <cellStyle name="20% - Accent4 2 15" xfId="163" xr:uid="{3E374822-6DBE-4D60-A417-A7F673DC709E}"/>
    <cellStyle name="20% - Accent4 2 16" xfId="164" xr:uid="{5C38BB07-837D-4293-9415-FEF941D22A7C}"/>
    <cellStyle name="20% - Accent4 2 17" xfId="165" xr:uid="{2B0248F2-B47A-48B7-B27F-0DC35E1D2BEF}"/>
    <cellStyle name="20% - Accent4 2 18" xfId="166" xr:uid="{1DA5701A-E544-42A5-BBA0-3EC27C544527}"/>
    <cellStyle name="20% - Accent4 2 19" xfId="167" xr:uid="{014D01B7-CBB2-4F0F-9884-2543D0006DF5}"/>
    <cellStyle name="20% - Accent4 2 2" xfId="168" xr:uid="{A244D2D4-16E9-454D-BCB3-E1B74BEA92CE}"/>
    <cellStyle name="20% - Accent4 2 20" xfId="169" xr:uid="{EB34ABC0-1BAE-4DA1-8BBD-E526B664A0DE}"/>
    <cellStyle name="20% - Accent4 2 21" xfId="170" xr:uid="{729153AB-DEF4-47D7-81AF-27E52C45333A}"/>
    <cellStyle name="20% - Accent4 2 22" xfId="171" xr:uid="{2934E904-42BE-44D7-85E0-D20BAB176B1B}"/>
    <cellStyle name="20% - Accent4 2 23" xfId="172" xr:uid="{CCAF8EC4-E748-400B-8E23-B87D13FCF0C1}"/>
    <cellStyle name="20% - Accent4 2 24" xfId="173" xr:uid="{E36D30A1-CEEF-4CB7-8EDE-FF917309B421}"/>
    <cellStyle name="20% - Accent4 2 25" xfId="174" xr:uid="{6D4EC1CE-0E84-4338-9856-94D9C9C52073}"/>
    <cellStyle name="20% - Accent4 2 26" xfId="175" xr:uid="{D69F1665-77D2-4721-A5BF-FE43AD8F74A6}"/>
    <cellStyle name="20% - Accent4 2 27" xfId="176" xr:uid="{D79EF135-D566-4F19-AFE9-204E970BC21C}"/>
    <cellStyle name="20% - Accent4 2 28" xfId="177" xr:uid="{D6CEE162-C243-4027-ABE1-110C6919AA2E}"/>
    <cellStyle name="20% - Accent4 2 29" xfId="178" xr:uid="{D8C60EE7-DD3C-4A98-99F0-4E649BDE7B61}"/>
    <cellStyle name="20% - Accent4 2 3" xfId="179" xr:uid="{184CD386-020C-458C-9F9C-5C1560A7490B}"/>
    <cellStyle name="20% - Accent4 2 30" xfId="180" xr:uid="{2E6A5C50-7D3C-4CF6-A3F3-DCCDFD1341F5}"/>
    <cellStyle name="20% - Accent4 2 31" xfId="181" xr:uid="{D7E657A8-A48C-4257-8C14-4524BDC5564C}"/>
    <cellStyle name="20% - Accent4 2 32" xfId="182" xr:uid="{FBDB99F9-6862-4417-AC6A-4B1F4DACD541}"/>
    <cellStyle name="20% - Accent4 2 33" xfId="183" xr:uid="{6C591EC2-BE20-49A0-AF21-EEAFFDF9F1F6}"/>
    <cellStyle name="20% - Accent4 2 34" xfId="184" xr:uid="{D570DFFF-84ED-438C-A54C-E8C1F1ABEAF8}"/>
    <cellStyle name="20% - Accent4 2 35" xfId="185" xr:uid="{3C003759-C737-4DE5-81BC-6F54AAE9D397}"/>
    <cellStyle name="20% - Accent4 2 36" xfId="186" xr:uid="{EBBC699A-0FE6-4BC3-8302-2F9FE431B7A7}"/>
    <cellStyle name="20% - Accent4 2 37" xfId="187" xr:uid="{C5633819-5431-43DA-B975-0E0E5C5960E1}"/>
    <cellStyle name="20% - Accent4 2 38" xfId="188" xr:uid="{2316DF5A-BE88-4C11-880D-ACB99BD3E71D}"/>
    <cellStyle name="20% - Accent4 2 39" xfId="189" xr:uid="{4D89EA81-823B-4DEB-A347-9EDF33289583}"/>
    <cellStyle name="20% - Accent4 2 4" xfId="190" xr:uid="{91E889E8-4F21-4CC2-86C5-4EA04E6DA315}"/>
    <cellStyle name="20% - Accent4 2 40" xfId="191" xr:uid="{3A06225D-BD82-4734-93E3-7107AEA355E0}"/>
    <cellStyle name="20% - Accent4 2 41" xfId="192" xr:uid="{88CF1D00-E470-46F0-B1E5-B69BFC4574CC}"/>
    <cellStyle name="20% - Accent4 2 42" xfId="193" xr:uid="{5F69A200-18CC-4034-B5A3-106712353516}"/>
    <cellStyle name="20% - Accent4 2 43" xfId="194" xr:uid="{A0400BE8-1EC5-4DF4-BD5A-CC6DD7516F99}"/>
    <cellStyle name="20% - Accent4 2 44" xfId="195" xr:uid="{C715AE7B-9701-4657-A1F3-E218FF3F47DF}"/>
    <cellStyle name="20% - Accent4 2 45" xfId="196" xr:uid="{6B491C0D-97A0-473E-BC6E-6F451B6F7E35}"/>
    <cellStyle name="20% - Accent4 2 46" xfId="197" xr:uid="{2AD5EF50-7CDE-40A4-A726-E8D725495687}"/>
    <cellStyle name="20% - Accent4 2 47" xfId="198" xr:uid="{DF2B52A6-8346-42A4-AEA6-ECA01D220BFE}"/>
    <cellStyle name="20% - Accent4 2 48" xfId="199" xr:uid="{65DC3BFA-0EC5-4E81-AA93-BE9FC06D9FBF}"/>
    <cellStyle name="20% - Accent4 2 49" xfId="200" xr:uid="{3BAEDCA6-94D9-44A3-BCC9-74591CF280F3}"/>
    <cellStyle name="20% - Accent4 2 5" xfId="201" xr:uid="{4C7053D7-7371-45B1-9DED-0C55BBEFBB85}"/>
    <cellStyle name="20% - Accent4 2 6" xfId="202" xr:uid="{CBF5635D-22FA-47A3-8649-CA708A4DA6CE}"/>
    <cellStyle name="20% - Accent4 2 7" xfId="203" xr:uid="{D23FA233-A77E-4BCA-9CD0-9E4197436673}"/>
    <cellStyle name="20% - Accent4 2 8" xfId="204" xr:uid="{95C725EE-1B26-48F5-93D8-EE717887D477}"/>
    <cellStyle name="20% - Accent4 2 9" xfId="205" xr:uid="{52900B89-0288-4B7F-B7C8-54F3081BDAB6}"/>
    <cellStyle name="20% - Accent5" xfId="8" builtinId="46" customBuiltin="1"/>
    <cellStyle name="20% - Accent6 2" xfId="206" xr:uid="{B3F069E4-BFEE-4601-A7EE-F04E2109BED9}"/>
    <cellStyle name="20% - Accent6 2 10" xfId="207" xr:uid="{764E2FD1-902D-4684-B74F-48E60921F448}"/>
    <cellStyle name="20% - Accent6 2 11" xfId="208" xr:uid="{1DF2E052-3E0C-4D0F-A341-EAD495A2B8CF}"/>
    <cellStyle name="20% - Accent6 2 12" xfId="209" xr:uid="{1DA53BB7-C074-47BA-8012-89D1BA88303F}"/>
    <cellStyle name="20% - Accent6 2 13" xfId="210" xr:uid="{F2FF1507-6B97-4FEE-98FA-1F6FD5AB395C}"/>
    <cellStyle name="20% - Accent6 2 14" xfId="211" xr:uid="{C8174746-C0EB-4991-A6C1-CEA4A430F5C3}"/>
    <cellStyle name="20% - Accent6 2 15" xfId="212" xr:uid="{9568CB44-7BAE-43DC-BE66-57CDA0CC5D86}"/>
    <cellStyle name="20% - Accent6 2 16" xfId="213" xr:uid="{9C5BFA6B-ECC9-4FE4-A373-DA21D9C81CF5}"/>
    <cellStyle name="20% - Accent6 2 17" xfId="214" xr:uid="{903B8ED8-FECD-4358-96F8-456B4B8DC86B}"/>
    <cellStyle name="20% - Accent6 2 18" xfId="215" xr:uid="{082F4A74-E189-4244-B030-41895C5F2172}"/>
    <cellStyle name="20% - Accent6 2 19" xfId="216" xr:uid="{A49AEB8D-D3DB-4253-9FD8-55A077CB8C58}"/>
    <cellStyle name="20% - Accent6 2 2" xfId="217" xr:uid="{68BE41E3-6610-4C3F-8A82-6C8ECD580453}"/>
    <cellStyle name="20% - Accent6 2 20" xfId="218" xr:uid="{B18D9351-1B59-4E64-A52B-C435B77F3EF9}"/>
    <cellStyle name="20% - Accent6 2 21" xfId="219" xr:uid="{FED984B8-9272-4DAE-8D10-A6D709C365BE}"/>
    <cellStyle name="20% - Accent6 2 22" xfId="220" xr:uid="{CC9AD081-C332-4D59-B8D2-A1F8F8B1E0C2}"/>
    <cellStyle name="20% - Accent6 2 23" xfId="221" xr:uid="{82194DEC-74D1-4591-8AA5-7034A0B43EA1}"/>
    <cellStyle name="20% - Accent6 2 24" xfId="222" xr:uid="{4C54BB75-B3D1-481C-B351-F171BEED258F}"/>
    <cellStyle name="20% - Accent6 2 25" xfId="223" xr:uid="{10884490-3B54-4C6A-960D-D9E375DF86D6}"/>
    <cellStyle name="20% - Accent6 2 26" xfId="224" xr:uid="{F4AC1AB7-CCA2-4241-9029-4694D6C654A4}"/>
    <cellStyle name="20% - Accent6 2 27" xfId="225" xr:uid="{F817EA7F-80E4-43AE-8625-745E13E66349}"/>
    <cellStyle name="20% - Accent6 2 28" xfId="226" xr:uid="{41168EB9-6A0C-41C7-BED5-4BF7EC005FA3}"/>
    <cellStyle name="20% - Accent6 2 29" xfId="227" xr:uid="{BBA45A6A-774B-49AA-BEB6-BD84F6B1E108}"/>
    <cellStyle name="20% - Accent6 2 3" xfId="228" xr:uid="{C869B916-85AE-4E40-AD9C-83402F166EE0}"/>
    <cellStyle name="20% - Accent6 2 30" xfId="229" xr:uid="{C5D59A1C-8947-42AD-BB29-B3B92EC985CF}"/>
    <cellStyle name="20% - Accent6 2 31" xfId="230" xr:uid="{E48BAA1E-19C3-46E4-B688-AE673BC26E8B}"/>
    <cellStyle name="20% - Accent6 2 32" xfId="231" xr:uid="{75467F5A-B24A-4429-97B8-B2876B5365DE}"/>
    <cellStyle name="20% - Accent6 2 33" xfId="232" xr:uid="{48EF3D16-2E14-47A8-B6B2-A3546107C5C6}"/>
    <cellStyle name="20% - Accent6 2 34" xfId="233" xr:uid="{93A54E7E-C1B8-45D9-A39E-97C6104FCD0A}"/>
    <cellStyle name="20% - Accent6 2 35" xfId="234" xr:uid="{39A6A24A-40E2-4D63-8834-636BACF2BFEF}"/>
    <cellStyle name="20% - Accent6 2 36" xfId="235" xr:uid="{F88D93C1-C3D5-4F9C-A518-62F34F048C9C}"/>
    <cellStyle name="20% - Accent6 2 37" xfId="236" xr:uid="{453EFCBE-FC43-4DC2-93E8-BE25E30F592A}"/>
    <cellStyle name="20% - Accent6 2 38" xfId="237" xr:uid="{3589BD1B-C8F6-4455-B342-1D9D3D2C6F71}"/>
    <cellStyle name="20% - Accent6 2 39" xfId="238" xr:uid="{2E670BEB-5864-46A2-8C84-B1E27C6CF03F}"/>
    <cellStyle name="20% - Accent6 2 4" xfId="239" xr:uid="{F7F84ADD-461D-41C6-9055-4DFEFD493F15}"/>
    <cellStyle name="20% - Accent6 2 40" xfId="240" xr:uid="{239A89E5-9ECC-46AC-A27E-1ADD97CF567E}"/>
    <cellStyle name="20% - Accent6 2 41" xfId="241" xr:uid="{653F8612-1F7B-4FA9-8439-3E0A26925272}"/>
    <cellStyle name="20% - Accent6 2 42" xfId="242" xr:uid="{AD3A41A8-3B76-40B6-A500-AB8C2281CA62}"/>
    <cellStyle name="20% - Accent6 2 43" xfId="243" xr:uid="{9023BAFE-D7A1-4B5B-BBCC-BDBCDDA99D89}"/>
    <cellStyle name="20% - Accent6 2 44" xfId="244" xr:uid="{48749965-7A7A-4B73-8EF7-D4C4FC500EEF}"/>
    <cellStyle name="20% - Accent6 2 45" xfId="245" xr:uid="{7712FF8B-9B47-42A7-8FB0-4EEBD02955D9}"/>
    <cellStyle name="20% - Accent6 2 46" xfId="246" xr:uid="{95AC8CA3-3BD6-4F5B-A64D-8FE5BC6612E9}"/>
    <cellStyle name="20% - Accent6 2 47" xfId="247" xr:uid="{BFA14C20-E25F-4D2B-A35F-01FD00AB063F}"/>
    <cellStyle name="20% - Accent6 2 48" xfId="248" xr:uid="{F345AFDB-645D-47BC-BF9E-BB50B4AF2B33}"/>
    <cellStyle name="20% - Accent6 2 49" xfId="249" xr:uid="{4A2B7C8E-5DAD-4884-9E06-8EB746960067}"/>
    <cellStyle name="20% - Accent6 2 5" xfId="250" xr:uid="{DC3E19EF-854C-494F-868A-B7687DBDE8D2}"/>
    <cellStyle name="20% - Accent6 2 6" xfId="251" xr:uid="{4FB2BFF8-A20E-436F-A6D1-80279E4FBB57}"/>
    <cellStyle name="20% - Accent6 2 7" xfId="252" xr:uid="{A49BA7D5-654E-46CC-A529-DD6E75AAF338}"/>
    <cellStyle name="20% - Accent6 2 8" xfId="253" xr:uid="{8508E28A-4508-4028-93F3-A381A2DE01D4}"/>
    <cellStyle name="20% - Accent6 2 9" xfId="254" xr:uid="{FDD0AB4A-57EE-4056-9F10-6E8DBEF92A45}"/>
    <cellStyle name="40% - Accent1 2" xfId="255" xr:uid="{22DC73F5-74E4-4199-BC6F-65E0C837CFE3}"/>
    <cellStyle name="40% - Accent1 2 10" xfId="256" xr:uid="{9745F099-77E8-482B-B4ED-BB3E20B33F33}"/>
    <cellStyle name="40% - Accent1 2 11" xfId="257" xr:uid="{C78CB3E0-9387-4C02-ABC5-BEDB928227BD}"/>
    <cellStyle name="40% - Accent1 2 12" xfId="258" xr:uid="{54DD9C4E-7ED4-4B9B-A12C-B15678FB4263}"/>
    <cellStyle name="40% - Accent1 2 13" xfId="259" xr:uid="{6B141E19-C2F6-4C8E-B58B-A0FA7821ABDC}"/>
    <cellStyle name="40% - Accent1 2 14" xfId="260" xr:uid="{E135C819-33C5-4BB6-B694-20DF9E8CC200}"/>
    <cellStyle name="40% - Accent1 2 15" xfId="261" xr:uid="{68A048F8-CDC6-4191-BEEA-AC5765BA33F2}"/>
    <cellStyle name="40% - Accent1 2 16" xfId="262" xr:uid="{61F0F838-5F72-4229-92F3-37B15966F7A8}"/>
    <cellStyle name="40% - Accent1 2 17" xfId="263" xr:uid="{B2E6044E-C8FB-4BAC-A50E-729EBA94444C}"/>
    <cellStyle name="40% - Accent1 2 18" xfId="264" xr:uid="{E9C9FEDB-5A93-492C-935E-F42DFACEA937}"/>
    <cellStyle name="40% - Accent1 2 19" xfId="265" xr:uid="{37EC3D57-E438-4227-BABC-8257B2F07D9A}"/>
    <cellStyle name="40% - Accent1 2 2" xfId="266" xr:uid="{60E95071-3999-4095-A652-D906FE315A97}"/>
    <cellStyle name="40% - Accent1 2 20" xfId="267" xr:uid="{D184DD23-3A02-4C4C-8CFE-4D1E97A5DA4D}"/>
    <cellStyle name="40% - Accent1 2 21" xfId="268" xr:uid="{6D871B04-908E-4326-84A3-60483D340A87}"/>
    <cellStyle name="40% - Accent1 2 22" xfId="269" xr:uid="{922B166B-D7CB-4140-AF00-B7196DB77C18}"/>
    <cellStyle name="40% - Accent1 2 23" xfId="270" xr:uid="{7C54C891-987C-4FF6-A156-9BC15B219F29}"/>
    <cellStyle name="40% - Accent1 2 24" xfId="271" xr:uid="{9855EEB3-CBE3-4AFF-9F61-26891B1A0B3E}"/>
    <cellStyle name="40% - Accent1 2 25" xfId="272" xr:uid="{3888CE22-F1A3-4AC3-9530-57CC7A787561}"/>
    <cellStyle name="40% - Accent1 2 26" xfId="273" xr:uid="{C06E0CE2-C020-48BF-AFE3-8D66DBEB14D2}"/>
    <cellStyle name="40% - Accent1 2 27" xfId="274" xr:uid="{BD8FA3FE-8BD1-4FDC-9764-66281F6758CB}"/>
    <cellStyle name="40% - Accent1 2 28" xfId="275" xr:uid="{6263968A-396C-462A-846E-B8B1AAB00C2E}"/>
    <cellStyle name="40% - Accent1 2 29" xfId="276" xr:uid="{2AA41651-BBFA-4E67-A3A1-C3346A079E77}"/>
    <cellStyle name="40% - Accent1 2 3" xfId="277" xr:uid="{DA684C16-EE26-4B4E-B4EA-B2632BB0F0B6}"/>
    <cellStyle name="40% - Accent1 2 30" xfId="278" xr:uid="{7A912BE0-3334-4287-8174-587FB493E47E}"/>
    <cellStyle name="40% - Accent1 2 31" xfId="279" xr:uid="{5890BE2D-5AC3-40A6-8DBB-D41CB8B46B13}"/>
    <cellStyle name="40% - Accent1 2 32" xfId="280" xr:uid="{C7DC58DB-1448-488C-9B30-9F1E96EAD135}"/>
    <cellStyle name="40% - Accent1 2 33" xfId="281" xr:uid="{CA3B9A8B-7A37-458F-87F4-1AA74623AE3D}"/>
    <cellStyle name="40% - Accent1 2 34" xfId="282" xr:uid="{E2018071-AB91-4908-99F2-97E26D66FB6D}"/>
    <cellStyle name="40% - Accent1 2 35" xfId="283" xr:uid="{30C031D9-AEF6-489F-8485-E1D144FAD9E0}"/>
    <cellStyle name="40% - Accent1 2 36" xfId="284" xr:uid="{A9E4720B-D670-4658-B8E5-8C9CE5517FB4}"/>
    <cellStyle name="40% - Accent1 2 37" xfId="285" xr:uid="{57CE92B0-2B85-449B-BBEA-A28C75B98089}"/>
    <cellStyle name="40% - Accent1 2 38" xfId="286" xr:uid="{A45290FB-3849-4918-8976-824CB392F790}"/>
    <cellStyle name="40% - Accent1 2 39" xfId="287" xr:uid="{878A993C-4B8B-4083-A47F-8CAFAFFF6680}"/>
    <cellStyle name="40% - Accent1 2 4" xfId="288" xr:uid="{86B62EA6-62E6-488C-B297-4FE4CA92864D}"/>
    <cellStyle name="40% - Accent1 2 40" xfId="289" xr:uid="{A44837E7-5DE8-48C0-BDC0-2E31FA4A5046}"/>
    <cellStyle name="40% - Accent1 2 41" xfId="290" xr:uid="{A6C91AC7-50CF-4D39-BD26-337DBAD2A03F}"/>
    <cellStyle name="40% - Accent1 2 42" xfId="291" xr:uid="{D5EDFC2B-DA19-40A9-8FE4-22960842FD8A}"/>
    <cellStyle name="40% - Accent1 2 43" xfId="292" xr:uid="{3784529D-4E1A-474E-A9AF-93FAD8FF996E}"/>
    <cellStyle name="40% - Accent1 2 44" xfId="293" xr:uid="{3BC692D6-AFC0-4E50-A1E8-F4CEA2C5DA3D}"/>
    <cellStyle name="40% - Accent1 2 45" xfId="294" xr:uid="{C0F4E21D-87F9-4116-A8CD-44E0C9897662}"/>
    <cellStyle name="40% - Accent1 2 46" xfId="295" xr:uid="{63109343-D266-4D62-A637-790CF514F675}"/>
    <cellStyle name="40% - Accent1 2 47" xfId="296" xr:uid="{EB3BC3E2-F1DD-4504-8E55-3A43D2874EAD}"/>
    <cellStyle name="40% - Accent1 2 48" xfId="297" xr:uid="{6E06E30E-9DC5-4DEB-AF35-79D58E8E2CDC}"/>
    <cellStyle name="40% - Accent1 2 49" xfId="298" xr:uid="{EB150914-DD9E-450B-843F-2F9E294E6981}"/>
    <cellStyle name="40% - Accent1 2 5" xfId="299" xr:uid="{F733F3DB-CCBC-41A9-9D9B-3C0F9B3B37EE}"/>
    <cellStyle name="40% - Accent1 2 6" xfId="300" xr:uid="{B7313FEE-B2D9-4E82-907F-F11A69E18A61}"/>
    <cellStyle name="40% - Accent1 2 7" xfId="301" xr:uid="{17280963-C235-416C-ABB8-06F462BB4D6F}"/>
    <cellStyle name="40% - Accent1 2 8" xfId="302" xr:uid="{D02D669D-8D2B-4BFC-8168-C3938F52E917}"/>
    <cellStyle name="40% - Accent1 2 9" xfId="303" xr:uid="{BCF93251-2DAC-42E7-A06A-EB5228DED7C1}"/>
    <cellStyle name="40% - Accent2" xfId="6" builtinId="35" customBuiltin="1"/>
    <cellStyle name="40% - Accent3 2" xfId="304" xr:uid="{DB5D04F3-0154-470E-894D-DB3D9A914F59}"/>
    <cellStyle name="40% - Accent3 2 10" xfId="305" xr:uid="{F93ED156-C79C-4B9B-BAC7-82C38FF6F43A}"/>
    <cellStyle name="40% - Accent3 2 11" xfId="306" xr:uid="{E6615BB0-B40A-4FF4-9FD5-5D79282ABA44}"/>
    <cellStyle name="40% - Accent3 2 12" xfId="307" xr:uid="{3AEF7C81-4578-4404-A169-932296183491}"/>
    <cellStyle name="40% - Accent3 2 13" xfId="308" xr:uid="{31686CEC-4D67-47F2-B1C8-163122552730}"/>
    <cellStyle name="40% - Accent3 2 14" xfId="309" xr:uid="{9D6CA92B-B0B4-4769-8550-30569D812B11}"/>
    <cellStyle name="40% - Accent3 2 15" xfId="310" xr:uid="{38282CF3-B535-4D75-9CDD-22A894992A9B}"/>
    <cellStyle name="40% - Accent3 2 16" xfId="311" xr:uid="{2E4537FA-1106-48D1-8672-734742CB69B5}"/>
    <cellStyle name="40% - Accent3 2 17" xfId="312" xr:uid="{4B822912-AFA0-4932-8602-2AC60BB8FEAE}"/>
    <cellStyle name="40% - Accent3 2 18" xfId="313" xr:uid="{97BB028F-27C2-4647-A929-A4A6B8188658}"/>
    <cellStyle name="40% - Accent3 2 19" xfId="314" xr:uid="{A24C1E5E-E424-432B-8266-321888B039B5}"/>
    <cellStyle name="40% - Accent3 2 2" xfId="315" xr:uid="{9A781BE1-718C-4A39-BC5A-743A610AAF90}"/>
    <cellStyle name="40% - Accent3 2 20" xfId="316" xr:uid="{F85139CD-DC9E-4ABF-A2F1-32755A67F48F}"/>
    <cellStyle name="40% - Accent3 2 21" xfId="317" xr:uid="{4D5C3572-665A-41CB-9FA4-C77598C39D61}"/>
    <cellStyle name="40% - Accent3 2 22" xfId="318" xr:uid="{A6BE5CBC-CD38-4F25-A5C9-13BDA17FDF87}"/>
    <cellStyle name="40% - Accent3 2 23" xfId="319" xr:uid="{ABAB2B84-F0DD-4764-8D9A-6EA1919FF924}"/>
    <cellStyle name="40% - Accent3 2 24" xfId="320" xr:uid="{147A80CA-6814-4C5B-B92B-6005D54F4368}"/>
    <cellStyle name="40% - Accent3 2 25" xfId="321" xr:uid="{CC721475-C420-4D02-9ECF-AE1C1AF1BF5A}"/>
    <cellStyle name="40% - Accent3 2 26" xfId="322" xr:uid="{36DB5A23-DC2C-4175-A979-8F89C4D8D530}"/>
    <cellStyle name="40% - Accent3 2 27" xfId="323" xr:uid="{E9A91A66-4ABF-4DAE-B540-88ADBB1C30AA}"/>
    <cellStyle name="40% - Accent3 2 28" xfId="324" xr:uid="{957A4795-5F99-4D17-B95F-7095463141CE}"/>
    <cellStyle name="40% - Accent3 2 29" xfId="325" xr:uid="{3E1449CF-250F-424D-A49B-0D55A77F99DD}"/>
    <cellStyle name="40% - Accent3 2 3" xfId="326" xr:uid="{0CFC970A-CA8E-464C-A9E7-8BA9A9D8108B}"/>
    <cellStyle name="40% - Accent3 2 30" xfId="327" xr:uid="{1907446D-A0CD-404C-B8A3-8DD9AD9A2CDB}"/>
    <cellStyle name="40% - Accent3 2 31" xfId="328" xr:uid="{B1BF495B-39AB-458D-8264-748CDA90E9D2}"/>
    <cellStyle name="40% - Accent3 2 32" xfId="329" xr:uid="{4C8083DD-D7FB-466E-AEAE-DCB28F21D229}"/>
    <cellStyle name="40% - Accent3 2 33" xfId="330" xr:uid="{608C3580-F256-476C-B958-9A32F8BC3A4B}"/>
    <cellStyle name="40% - Accent3 2 34" xfId="331" xr:uid="{B3ABEC72-92D3-429C-89A9-89CCF0B6EB68}"/>
    <cellStyle name="40% - Accent3 2 35" xfId="332" xr:uid="{7167E258-4A11-4231-80B8-F859A14F710C}"/>
    <cellStyle name="40% - Accent3 2 36" xfId="333" xr:uid="{289E37F5-32CA-47F9-99C4-E83B7B51C01D}"/>
    <cellStyle name="40% - Accent3 2 37" xfId="334" xr:uid="{C581A5B7-708B-47F8-AA9B-2B38EBE03F9D}"/>
    <cellStyle name="40% - Accent3 2 38" xfId="335" xr:uid="{BAF19BEC-E57B-48F6-94F6-157E49D5EDAF}"/>
    <cellStyle name="40% - Accent3 2 39" xfId="336" xr:uid="{464C59FE-44DF-4902-8B3C-C2DFF56C046B}"/>
    <cellStyle name="40% - Accent3 2 4" xfId="337" xr:uid="{1CAACD41-9518-4E57-8F47-242D5FDFDA15}"/>
    <cellStyle name="40% - Accent3 2 40" xfId="338" xr:uid="{83D7C55A-0193-4842-B402-A4FB15F2AC26}"/>
    <cellStyle name="40% - Accent3 2 41" xfId="339" xr:uid="{ADDCC112-283A-477B-BC10-41684904E64B}"/>
    <cellStyle name="40% - Accent3 2 42" xfId="340" xr:uid="{10ABF653-89BD-4D64-B19A-6047D55D1624}"/>
    <cellStyle name="40% - Accent3 2 43" xfId="341" xr:uid="{785E2DEA-55D8-44A2-A4CC-503DF10B4D05}"/>
    <cellStyle name="40% - Accent3 2 44" xfId="342" xr:uid="{64F6523D-A380-45BA-87A7-2F3013A19110}"/>
    <cellStyle name="40% - Accent3 2 45" xfId="343" xr:uid="{EF2AA12A-F586-486D-A3A9-28C684031E1E}"/>
    <cellStyle name="40% - Accent3 2 46" xfId="344" xr:uid="{7E065446-0B8E-493C-AAF9-D8E2F03039D7}"/>
    <cellStyle name="40% - Accent3 2 47" xfId="345" xr:uid="{349D004F-E7D8-464D-BAEC-2210EC842A46}"/>
    <cellStyle name="40% - Accent3 2 48" xfId="346" xr:uid="{B48EB83A-F2F0-468C-9D96-A4C19A65835A}"/>
    <cellStyle name="40% - Accent3 2 49" xfId="347" xr:uid="{ACC56783-3666-4E1A-B00F-9CD672237BAC}"/>
    <cellStyle name="40% - Accent3 2 5" xfId="348" xr:uid="{3D6CC9F9-7452-4997-991A-D69589495054}"/>
    <cellStyle name="40% - Accent3 2 6" xfId="349" xr:uid="{3024378D-4AFC-45AB-A157-8A4C1EF8E0A9}"/>
    <cellStyle name="40% - Accent3 2 7" xfId="350" xr:uid="{99876C64-0067-4A4B-A10E-E3FAD4E76991}"/>
    <cellStyle name="40% - Accent3 2 8" xfId="351" xr:uid="{D1416240-FEA6-4E4A-910B-264F0BCBF677}"/>
    <cellStyle name="40% - Accent3 2 9" xfId="352" xr:uid="{FE1FFF6A-EF75-4EFB-8D76-B84DE85990B2}"/>
    <cellStyle name="40% - Accent4 2" xfId="353" xr:uid="{342CD556-CCB5-4D79-BA57-69C167538D47}"/>
    <cellStyle name="40% - Accent4 2 10" xfId="354" xr:uid="{21F50541-B1F8-45D0-B018-9B8DF3440CF3}"/>
    <cellStyle name="40% - Accent4 2 11" xfId="355" xr:uid="{D2ACEAD1-E183-48CB-8F6C-15806E4CDB3D}"/>
    <cellStyle name="40% - Accent4 2 12" xfId="356" xr:uid="{1F6F23BC-6226-4C2C-8E44-CB59ABBACD93}"/>
    <cellStyle name="40% - Accent4 2 13" xfId="357" xr:uid="{F7C04CAC-EC0B-4ED4-866B-467B8D2B6434}"/>
    <cellStyle name="40% - Accent4 2 14" xfId="358" xr:uid="{92C2C8B6-6C49-4B28-A69C-FFCC5E1037AD}"/>
    <cellStyle name="40% - Accent4 2 15" xfId="359" xr:uid="{71A639E2-443B-4464-AA68-BE1E7BDA2897}"/>
    <cellStyle name="40% - Accent4 2 16" xfId="360" xr:uid="{512C180C-2EB6-4E2B-B14A-AA9B1252AD63}"/>
    <cellStyle name="40% - Accent4 2 17" xfId="361" xr:uid="{A4A60FD2-E967-4FF4-8E05-F75F4A3832C2}"/>
    <cellStyle name="40% - Accent4 2 18" xfId="362" xr:uid="{AD793BF4-8785-4F35-91D3-EB2E8F4BED00}"/>
    <cellStyle name="40% - Accent4 2 19" xfId="363" xr:uid="{89B38A6C-BE22-4C26-9B1B-9B28C2BDD4E8}"/>
    <cellStyle name="40% - Accent4 2 2" xfId="364" xr:uid="{6B498BD9-9B24-43F6-B30D-45DFBF674F41}"/>
    <cellStyle name="40% - Accent4 2 20" xfId="365" xr:uid="{E3033C29-03F7-4D69-8276-A05451F0F3F7}"/>
    <cellStyle name="40% - Accent4 2 21" xfId="366" xr:uid="{30ECFF10-5176-4266-B1F3-00AF3BE322A0}"/>
    <cellStyle name="40% - Accent4 2 22" xfId="367" xr:uid="{386790C0-B596-4ECB-8490-8F720B420C99}"/>
    <cellStyle name="40% - Accent4 2 23" xfId="368" xr:uid="{A8DB8B70-8F9D-4B39-83D9-6837C8ACC28A}"/>
    <cellStyle name="40% - Accent4 2 24" xfId="369" xr:uid="{24B471B4-C134-4265-A486-A2FB7203699D}"/>
    <cellStyle name="40% - Accent4 2 25" xfId="370" xr:uid="{2AFB9DE7-D3B0-438D-BD8F-3A877EE28A31}"/>
    <cellStyle name="40% - Accent4 2 26" xfId="371" xr:uid="{5444011C-216C-4CCF-BCD7-E384DFCFA235}"/>
    <cellStyle name="40% - Accent4 2 27" xfId="372" xr:uid="{99051E29-AE09-4BBF-BB22-2F4F4D5D6546}"/>
    <cellStyle name="40% - Accent4 2 28" xfId="373" xr:uid="{28F2D564-EAE9-4ADD-8F88-4B18A619A10D}"/>
    <cellStyle name="40% - Accent4 2 29" xfId="374" xr:uid="{753C2D7F-2834-4454-A925-6065C3AB0D1F}"/>
    <cellStyle name="40% - Accent4 2 3" xfId="375" xr:uid="{043175CB-A80F-48DA-9305-2BE42B47645C}"/>
    <cellStyle name="40% - Accent4 2 30" xfId="376" xr:uid="{88F28C7F-A625-471F-A5EB-4EB3F9019A46}"/>
    <cellStyle name="40% - Accent4 2 31" xfId="377" xr:uid="{71288818-DD57-43B5-9012-B91BCD195341}"/>
    <cellStyle name="40% - Accent4 2 32" xfId="378" xr:uid="{5F06A9B5-A709-4687-AA48-97D5CAEB0622}"/>
    <cellStyle name="40% - Accent4 2 33" xfId="379" xr:uid="{4D342EC1-85E5-4F66-B2B0-87F7DF74938E}"/>
    <cellStyle name="40% - Accent4 2 34" xfId="380" xr:uid="{D821E142-BFFC-45B2-A7A2-F55F185FA586}"/>
    <cellStyle name="40% - Accent4 2 35" xfId="381" xr:uid="{209326F5-AAD8-456C-952F-26CDA9F125F1}"/>
    <cellStyle name="40% - Accent4 2 36" xfId="382" xr:uid="{631CBA3E-D6BD-46EB-AC1A-BDA631958D6C}"/>
    <cellStyle name="40% - Accent4 2 37" xfId="383" xr:uid="{5782A5BC-8BAE-4177-A21D-9A1122F37147}"/>
    <cellStyle name="40% - Accent4 2 38" xfId="384" xr:uid="{2A12F78E-4BC2-424F-927C-3444F2EAB785}"/>
    <cellStyle name="40% - Accent4 2 39" xfId="385" xr:uid="{63B72086-247C-43AC-A365-7CF482305493}"/>
    <cellStyle name="40% - Accent4 2 4" xfId="386" xr:uid="{E1CFE71D-4DE2-492A-843D-BEFF44649A27}"/>
    <cellStyle name="40% - Accent4 2 40" xfId="387" xr:uid="{26CD469E-B6E8-4BD1-9490-B33E7A9DC6EF}"/>
    <cellStyle name="40% - Accent4 2 41" xfId="388" xr:uid="{E44D7387-AB85-4135-B337-48056BF11145}"/>
    <cellStyle name="40% - Accent4 2 42" xfId="389" xr:uid="{0BA79F70-92C8-4163-8C2A-421E1A859C09}"/>
    <cellStyle name="40% - Accent4 2 43" xfId="390" xr:uid="{CB3B7906-8AEC-4CF6-B2A5-1E8BD0F60B6F}"/>
    <cellStyle name="40% - Accent4 2 44" xfId="391" xr:uid="{0CDBF555-4729-418C-9815-8B29C2066AB1}"/>
    <cellStyle name="40% - Accent4 2 45" xfId="392" xr:uid="{8DB6E478-7D75-4CC7-8643-CE0AEF4940CC}"/>
    <cellStyle name="40% - Accent4 2 46" xfId="393" xr:uid="{B370E9B4-DA98-4B3F-A9B1-745B3256BB79}"/>
    <cellStyle name="40% - Accent4 2 47" xfId="394" xr:uid="{12FAF8BE-0F26-4874-A69A-D24FAE2A97D8}"/>
    <cellStyle name="40% - Accent4 2 48" xfId="395" xr:uid="{BB6147DD-9DC7-44AB-8484-3B53320E2CF8}"/>
    <cellStyle name="40% - Accent4 2 49" xfId="396" xr:uid="{DF31B241-FC65-4C0D-8C9E-11DD9042066A}"/>
    <cellStyle name="40% - Accent4 2 5" xfId="397" xr:uid="{E8A7F474-46CB-4734-9D0E-8D1BCE5D25D1}"/>
    <cellStyle name="40% - Accent4 2 6" xfId="398" xr:uid="{E1CDA530-A4DA-4E3D-97A2-9C42A669B5E4}"/>
    <cellStyle name="40% - Accent4 2 7" xfId="399" xr:uid="{5CEBFBEF-B4AF-4DAD-AE0F-2B37A8F3B4AA}"/>
    <cellStyle name="40% - Accent4 2 8" xfId="400" xr:uid="{91039B66-034C-4519-A445-211A2E7C3307}"/>
    <cellStyle name="40% - Accent4 2 9" xfId="401" xr:uid="{451164D8-D8F5-47EF-9D1D-5510D4D66170}"/>
    <cellStyle name="40% - Accent5 2" xfId="402" xr:uid="{E4AEB63C-0740-4F01-9B1C-3F44C72B5B59}"/>
    <cellStyle name="40% - Accent5 2 10" xfId="403" xr:uid="{63D723E0-46DC-4E36-A39A-9F5D4C37D157}"/>
    <cellStyle name="40% - Accent5 2 11" xfId="404" xr:uid="{CD68230B-5BB5-4CD1-A9EB-5DD6F5577C0D}"/>
    <cellStyle name="40% - Accent5 2 12" xfId="405" xr:uid="{8A26E3E5-15CC-47C0-A312-807FD54FE314}"/>
    <cellStyle name="40% - Accent5 2 13" xfId="406" xr:uid="{E498AE2D-D603-41F7-B02B-182D6220AE8B}"/>
    <cellStyle name="40% - Accent5 2 14" xfId="407" xr:uid="{68F0C7CA-5B18-4CB5-AD9C-FA91A58B108D}"/>
    <cellStyle name="40% - Accent5 2 15" xfId="408" xr:uid="{7355097E-7825-4688-AD37-61630FC0AFE9}"/>
    <cellStyle name="40% - Accent5 2 16" xfId="409" xr:uid="{487BCBC4-2D2B-4214-A7BC-CF3BC3CC0BAA}"/>
    <cellStyle name="40% - Accent5 2 17" xfId="410" xr:uid="{94DB4F58-0410-41BB-9DF2-3F3AA560796F}"/>
    <cellStyle name="40% - Accent5 2 18" xfId="411" xr:uid="{02376E89-86AD-4D82-A494-079729AE3C91}"/>
    <cellStyle name="40% - Accent5 2 19" xfId="412" xr:uid="{5490945E-8B0C-48D8-B653-95126808225E}"/>
    <cellStyle name="40% - Accent5 2 2" xfId="413" xr:uid="{0A5DEB48-22FE-4B3E-8C9A-103606D28E4F}"/>
    <cellStyle name="40% - Accent5 2 20" xfId="414" xr:uid="{AA9A4685-4C29-4488-9844-AAD2D92A2BA3}"/>
    <cellStyle name="40% - Accent5 2 21" xfId="415" xr:uid="{1B39C79E-19E8-4862-B8BF-27BFD6076819}"/>
    <cellStyle name="40% - Accent5 2 22" xfId="416" xr:uid="{0AF9AAFD-5F46-485C-870D-2A510DE968FA}"/>
    <cellStyle name="40% - Accent5 2 23" xfId="417" xr:uid="{AC452E16-3B80-4425-9DD8-6B1CB59EF3C0}"/>
    <cellStyle name="40% - Accent5 2 24" xfId="418" xr:uid="{E5428292-9513-42EE-BED1-55E3AA31AE26}"/>
    <cellStyle name="40% - Accent5 2 25" xfId="419" xr:uid="{2E8ABE29-2F03-4FA7-B258-0F4FC6459F67}"/>
    <cellStyle name="40% - Accent5 2 26" xfId="420" xr:uid="{1D006F72-D875-42C5-BE17-D3EB32B603AB}"/>
    <cellStyle name="40% - Accent5 2 27" xfId="421" xr:uid="{9E1182FB-F10B-4046-8BDC-87A14C6A14DE}"/>
    <cellStyle name="40% - Accent5 2 28" xfId="422" xr:uid="{8CA0ADC2-9C8F-48C1-9426-17D0FC14AC48}"/>
    <cellStyle name="40% - Accent5 2 29" xfId="423" xr:uid="{98B71D0F-3BDE-4470-A89F-B5F038987FB6}"/>
    <cellStyle name="40% - Accent5 2 3" xfId="424" xr:uid="{4FFDB953-9658-4D5A-B243-B804D4A1AC60}"/>
    <cellStyle name="40% - Accent5 2 30" xfId="425" xr:uid="{49180ED0-CA43-484B-9E73-8F76EDCC5C26}"/>
    <cellStyle name="40% - Accent5 2 31" xfId="426" xr:uid="{667E6C0C-BCCB-4DFE-B498-F90658B5E122}"/>
    <cellStyle name="40% - Accent5 2 32" xfId="427" xr:uid="{3F8AC71A-D1D3-4973-8645-7D76E17CFAAF}"/>
    <cellStyle name="40% - Accent5 2 33" xfId="428" xr:uid="{27681C4E-C026-4311-A9D1-E82AAE8301F5}"/>
    <cellStyle name="40% - Accent5 2 34" xfId="429" xr:uid="{A3D71E61-BBE8-4E79-887F-573560B3FE43}"/>
    <cellStyle name="40% - Accent5 2 35" xfId="430" xr:uid="{04D8F41A-787F-4E02-8FFF-7A264B3DB483}"/>
    <cellStyle name="40% - Accent5 2 36" xfId="431" xr:uid="{62B9C20E-C8DC-4A3E-95E7-030618DF8CB5}"/>
    <cellStyle name="40% - Accent5 2 37" xfId="432" xr:uid="{7D2C5E37-F272-4CD2-AD23-A642625E3AD1}"/>
    <cellStyle name="40% - Accent5 2 38" xfId="433" xr:uid="{4C292A2A-7B65-4C4F-BF8F-2E0DC37B7EBE}"/>
    <cellStyle name="40% - Accent5 2 39" xfId="434" xr:uid="{DEF5B7DE-639F-4875-8DF7-0B45DA15DBD7}"/>
    <cellStyle name="40% - Accent5 2 4" xfId="435" xr:uid="{6695645C-C2B2-4365-8EEA-4A6855E01D01}"/>
    <cellStyle name="40% - Accent5 2 40" xfId="436" xr:uid="{B9DC4425-9344-4C62-AE35-DCD43B26C694}"/>
    <cellStyle name="40% - Accent5 2 41" xfId="437" xr:uid="{E2089DF9-8FBE-4D5A-B7E1-15B7601C23E6}"/>
    <cellStyle name="40% - Accent5 2 42" xfId="438" xr:uid="{76CA0D1C-AE71-4A48-9EC6-6D988EF435A1}"/>
    <cellStyle name="40% - Accent5 2 43" xfId="439" xr:uid="{CC2072B7-837F-4D32-A82B-8AA9908094BF}"/>
    <cellStyle name="40% - Accent5 2 44" xfId="440" xr:uid="{F7330756-0BA2-4517-A3DD-EA0521EBBF2B}"/>
    <cellStyle name="40% - Accent5 2 45" xfId="441" xr:uid="{3FBFB119-1DFF-4255-9B3D-832D32807DDC}"/>
    <cellStyle name="40% - Accent5 2 46" xfId="442" xr:uid="{F6C33C10-D63C-4E0C-BF9B-8BCFBD03F05D}"/>
    <cellStyle name="40% - Accent5 2 47" xfId="443" xr:uid="{0C0A09D7-3598-4D54-889D-54A4321FDC35}"/>
    <cellStyle name="40% - Accent5 2 48" xfId="444" xr:uid="{F663172D-9FDC-4567-A42A-4976D3EDF6C3}"/>
    <cellStyle name="40% - Accent5 2 49" xfId="445" xr:uid="{7DB322FA-6F54-4F20-929F-76357A7EC19F}"/>
    <cellStyle name="40% - Accent5 2 5" xfId="446" xr:uid="{6F0A7163-9DCC-4C3A-9234-0E60471F96D1}"/>
    <cellStyle name="40% - Accent5 2 6" xfId="447" xr:uid="{B93E12D1-0F38-4C67-B0DA-02A776334167}"/>
    <cellStyle name="40% - Accent5 2 7" xfId="448" xr:uid="{31209441-9979-4327-BFF0-790155C5C955}"/>
    <cellStyle name="40% - Accent5 2 8" xfId="449" xr:uid="{CC26ABD1-1BAE-498B-8E1D-4BB367823F2C}"/>
    <cellStyle name="40% - Accent5 2 9" xfId="450" xr:uid="{7CB6BDD0-36B9-4E9F-B581-42E94CC6B5CE}"/>
    <cellStyle name="40% - Accent6 2" xfId="451" xr:uid="{DB6DC011-5ADA-4BAC-AAC4-82FCCE9DFA0C}"/>
    <cellStyle name="40% - Accent6 2 10" xfId="452" xr:uid="{52CAB8DA-42ED-4EC8-80AA-B7C33D93D8F3}"/>
    <cellStyle name="40% - Accent6 2 11" xfId="453" xr:uid="{F854EE94-27C3-4387-A8A4-1691CA09BDFB}"/>
    <cellStyle name="40% - Accent6 2 12" xfId="454" xr:uid="{0C4A1327-A31F-4D39-BED1-E65C79ECAEA0}"/>
    <cellStyle name="40% - Accent6 2 13" xfId="455" xr:uid="{15317910-8243-466A-BA2D-28F314CDBB47}"/>
    <cellStyle name="40% - Accent6 2 14" xfId="456" xr:uid="{EE378B1D-4B26-45BB-B3BD-DC8476B39539}"/>
    <cellStyle name="40% - Accent6 2 15" xfId="457" xr:uid="{DD0B7434-CD65-4354-836A-E0AF1920CDA1}"/>
    <cellStyle name="40% - Accent6 2 16" xfId="458" xr:uid="{D1827043-0316-447B-BBE1-6592AC538CA4}"/>
    <cellStyle name="40% - Accent6 2 17" xfId="459" xr:uid="{D35DCF5C-A186-4D22-9E52-6B052D035DB8}"/>
    <cellStyle name="40% - Accent6 2 18" xfId="460" xr:uid="{A167844B-F72A-41EA-9E95-3932A153C793}"/>
    <cellStyle name="40% - Accent6 2 19" xfId="461" xr:uid="{85B2DB8E-FDEA-4F85-8632-F2EB58A50FB0}"/>
    <cellStyle name="40% - Accent6 2 2" xfId="462" xr:uid="{54763504-0537-4E26-A522-20BF9E35383A}"/>
    <cellStyle name="40% - Accent6 2 20" xfId="463" xr:uid="{999C98EA-8B75-4FBF-809C-089704E25293}"/>
    <cellStyle name="40% - Accent6 2 21" xfId="464" xr:uid="{BEE63BDD-91EF-4B2D-A0EA-74BB5CC86A97}"/>
    <cellStyle name="40% - Accent6 2 22" xfId="465" xr:uid="{13DD3BDD-D771-4679-84E3-1069089862FC}"/>
    <cellStyle name="40% - Accent6 2 23" xfId="466" xr:uid="{A948E9F6-ACED-4959-8DCA-8AB6F29B0BE3}"/>
    <cellStyle name="40% - Accent6 2 24" xfId="467" xr:uid="{107E2AEE-C7B1-41AC-B34A-DC626A0B979A}"/>
    <cellStyle name="40% - Accent6 2 25" xfId="468" xr:uid="{E0868A63-782E-4449-A55F-28263F6D6E60}"/>
    <cellStyle name="40% - Accent6 2 26" xfId="469" xr:uid="{16DA5511-F547-4887-8EBB-28A963CEF0F3}"/>
    <cellStyle name="40% - Accent6 2 27" xfId="470" xr:uid="{D03DC36E-5A9B-4231-9D0E-E84E582EF7C8}"/>
    <cellStyle name="40% - Accent6 2 28" xfId="471" xr:uid="{CC895EB9-7E27-4ACC-B57B-87701A54D831}"/>
    <cellStyle name="40% - Accent6 2 29" xfId="472" xr:uid="{17B92980-5BC3-41EB-8B72-8BB1708A4E95}"/>
    <cellStyle name="40% - Accent6 2 3" xfId="473" xr:uid="{29FE699C-D711-4EFA-B85C-3A34DE7F1A46}"/>
    <cellStyle name="40% - Accent6 2 30" xfId="474" xr:uid="{3A371D9B-55CA-4E14-A68A-78D7C7FC4F7B}"/>
    <cellStyle name="40% - Accent6 2 31" xfId="475" xr:uid="{DF6A3B14-BE1C-4B41-BCCB-0F826D48EB2A}"/>
    <cellStyle name="40% - Accent6 2 32" xfId="476" xr:uid="{1514A9A0-7888-4910-8BF5-EEE038A094B0}"/>
    <cellStyle name="40% - Accent6 2 33" xfId="477" xr:uid="{9E6819D9-2BDB-4820-A596-5F78605F2D2F}"/>
    <cellStyle name="40% - Accent6 2 34" xfId="478" xr:uid="{8CA8C3EA-3F76-4E37-8972-C33ACB23EB97}"/>
    <cellStyle name="40% - Accent6 2 35" xfId="479" xr:uid="{7EA28359-2853-4B4F-9E62-56A54D12E44B}"/>
    <cellStyle name="40% - Accent6 2 36" xfId="480" xr:uid="{B30ED215-FB8C-449F-A3F8-AF70F67D1D06}"/>
    <cellStyle name="40% - Accent6 2 37" xfId="481" xr:uid="{CACF4D8C-39FA-4C63-9340-135941F39472}"/>
    <cellStyle name="40% - Accent6 2 38" xfId="482" xr:uid="{EBFC7427-DB20-4B9E-81A2-58CB2ED783B4}"/>
    <cellStyle name="40% - Accent6 2 39" xfId="483" xr:uid="{6D73A1A5-2C25-4F3E-A54E-6ACAF43E1993}"/>
    <cellStyle name="40% - Accent6 2 4" xfId="484" xr:uid="{040F5B6B-D891-4FE6-9AF2-E2D6F8C1F5BB}"/>
    <cellStyle name="40% - Accent6 2 40" xfId="485" xr:uid="{625F8264-7137-41C0-ABCA-B0A19152B74F}"/>
    <cellStyle name="40% - Accent6 2 41" xfId="486" xr:uid="{36782762-FB1E-42EF-9B96-50718F76F8BB}"/>
    <cellStyle name="40% - Accent6 2 42" xfId="487" xr:uid="{4DCDB48C-06E8-47AF-914B-8BEA799C9237}"/>
    <cellStyle name="40% - Accent6 2 43" xfId="488" xr:uid="{8819707C-27DE-4798-8EA7-099C4BE0496A}"/>
    <cellStyle name="40% - Accent6 2 44" xfId="489" xr:uid="{88602DC6-3156-49B1-BD0A-9A61769EB6DC}"/>
    <cellStyle name="40% - Accent6 2 45" xfId="490" xr:uid="{270F46F1-3BC9-4AC1-8D90-8E048F6A71FB}"/>
    <cellStyle name="40% - Accent6 2 46" xfId="491" xr:uid="{81FA81D3-E0F3-4613-8859-24345DE89D95}"/>
    <cellStyle name="40% - Accent6 2 47" xfId="492" xr:uid="{2C836F38-1C86-4422-80A0-6273E00F0820}"/>
    <cellStyle name="40% - Accent6 2 48" xfId="493" xr:uid="{3A849F5C-2B7C-455E-86ED-B40F65C98C7F}"/>
    <cellStyle name="40% - Accent6 2 49" xfId="494" xr:uid="{1226B142-DFA5-4EA2-8F49-BABB9E48C786}"/>
    <cellStyle name="40% - Accent6 2 5" xfId="495" xr:uid="{F9832EDF-6C49-48F1-93AB-296D7DBF328D}"/>
    <cellStyle name="40% - Accent6 2 6" xfId="496" xr:uid="{EC28F289-7363-4DA7-A19E-2D8C364F4AB9}"/>
    <cellStyle name="40% - Accent6 2 7" xfId="497" xr:uid="{D0A5E8EA-1BB6-4548-A517-7DFB76BE52D8}"/>
    <cellStyle name="40% - Accent6 2 8" xfId="498" xr:uid="{057E27B4-2903-4521-8176-EAFE568A4CB8}"/>
    <cellStyle name="40% - Accent6 2 9" xfId="499" xr:uid="{2D4543DC-FC36-4083-9EFA-DA28303B3B65}"/>
    <cellStyle name="60% - Accent1 2" xfId="500" xr:uid="{EA5D393C-D2EE-4ECB-9837-1858C2368778}"/>
    <cellStyle name="60% - Accent1 2 10" xfId="501" xr:uid="{9727A7E3-9FE3-4DD0-A576-1F0FE2CCBC55}"/>
    <cellStyle name="60% - Accent1 2 11" xfId="502" xr:uid="{D3ABC5A1-9602-4786-9011-65B1E334BCAA}"/>
    <cellStyle name="60% - Accent1 2 12" xfId="503" xr:uid="{D256CE09-CA82-4CD2-9B66-5F117EEC1E71}"/>
    <cellStyle name="60% - Accent1 2 13" xfId="504" xr:uid="{B0BBE6C7-A1B7-4214-9E05-BB977DFD4D60}"/>
    <cellStyle name="60% - Accent1 2 14" xfId="505" xr:uid="{2F821A1B-1B42-42A5-B1B3-2AE6F489F60D}"/>
    <cellStyle name="60% - Accent1 2 15" xfId="506" xr:uid="{E4A11D85-302A-4B15-935A-93DF1909D142}"/>
    <cellStyle name="60% - Accent1 2 16" xfId="507" xr:uid="{2AC6F473-314A-4A96-8017-5E293FEBF491}"/>
    <cellStyle name="60% - Accent1 2 17" xfId="508" xr:uid="{0A607FB1-50DC-4A88-B496-11245BC73591}"/>
    <cellStyle name="60% - Accent1 2 18" xfId="509" xr:uid="{7C090EAE-EC17-4CAD-BFA6-DDBB3CF905A5}"/>
    <cellStyle name="60% - Accent1 2 19" xfId="510" xr:uid="{5864070F-3E59-4E8F-9D47-6D22E5FF9B80}"/>
    <cellStyle name="60% - Accent1 2 2" xfId="511" xr:uid="{0FEE648D-A97C-41DE-BE9D-6BAE470AB99A}"/>
    <cellStyle name="60% - Accent1 2 20" xfId="512" xr:uid="{94829710-D3FA-4FCC-B882-AB59F50DC28A}"/>
    <cellStyle name="60% - Accent1 2 21" xfId="513" xr:uid="{8B7A31E2-BBD0-4991-BA7C-E2E2217FEF36}"/>
    <cellStyle name="60% - Accent1 2 22" xfId="514" xr:uid="{68F6B0B9-D403-4ECF-BB0D-5EF4200D311C}"/>
    <cellStyle name="60% - Accent1 2 23" xfId="515" xr:uid="{6AD3258F-8BE8-4D0F-A323-35523D143501}"/>
    <cellStyle name="60% - Accent1 2 24" xfId="516" xr:uid="{4B092A83-8489-4ECA-BA84-ACB2A5F17780}"/>
    <cellStyle name="60% - Accent1 2 25" xfId="517" xr:uid="{274FE92A-081A-445D-9145-8A4A3840BB44}"/>
    <cellStyle name="60% - Accent1 2 26" xfId="518" xr:uid="{77B7DAB9-9221-402A-9C40-2B59F390D120}"/>
    <cellStyle name="60% - Accent1 2 27" xfId="519" xr:uid="{7EFB6D99-4EAC-4B03-935B-02E6CB1658DB}"/>
    <cellStyle name="60% - Accent1 2 28" xfId="520" xr:uid="{4EB08A43-EA70-4946-845C-3988F11A7A06}"/>
    <cellStyle name="60% - Accent1 2 29" xfId="521" xr:uid="{8D5AC34C-6DEF-4C1D-BB34-1FFC378B2133}"/>
    <cellStyle name="60% - Accent1 2 3" xfId="522" xr:uid="{01593DBA-043D-4038-A7C9-A16F0BBC5042}"/>
    <cellStyle name="60% - Accent1 2 30" xfId="523" xr:uid="{5D345D29-4647-4C5E-A306-E7D4526F7BE2}"/>
    <cellStyle name="60% - Accent1 2 31" xfId="524" xr:uid="{4866A2BD-5E56-45FF-A7B2-80AB1710F935}"/>
    <cellStyle name="60% - Accent1 2 32" xfId="525" xr:uid="{A4E17851-EE8C-42E7-A876-02A9DD1398EC}"/>
    <cellStyle name="60% - Accent1 2 33" xfId="526" xr:uid="{E905843D-915C-47A1-80D2-D5C1F2762F3A}"/>
    <cellStyle name="60% - Accent1 2 34" xfId="527" xr:uid="{738058A7-6B3A-474B-A6F5-850D856FB27C}"/>
    <cellStyle name="60% - Accent1 2 35" xfId="528" xr:uid="{744438E6-AE7D-44F6-8380-DCEED53F655E}"/>
    <cellStyle name="60% - Accent1 2 36" xfId="529" xr:uid="{D00832CE-0484-45D1-B153-922F83021CF0}"/>
    <cellStyle name="60% - Accent1 2 37" xfId="530" xr:uid="{2F47075D-1C3B-41E9-B2A9-5F8022CD52D0}"/>
    <cellStyle name="60% - Accent1 2 38" xfId="531" xr:uid="{1A293E07-D7BB-4BA1-BAE2-A46987F19A29}"/>
    <cellStyle name="60% - Accent1 2 39" xfId="532" xr:uid="{F0645B3F-03A8-47E1-9690-84D70F8822D7}"/>
    <cellStyle name="60% - Accent1 2 4" xfId="533" xr:uid="{4715853D-E5D6-465A-8CEC-CD6FDF9A4993}"/>
    <cellStyle name="60% - Accent1 2 40" xfId="534" xr:uid="{2F9B9DA3-D75A-4C9F-ABCD-E2A1918CCE5F}"/>
    <cellStyle name="60% - Accent1 2 41" xfId="535" xr:uid="{C29253DA-5933-4C29-8A8A-474AD9D8A814}"/>
    <cellStyle name="60% - Accent1 2 42" xfId="536" xr:uid="{4E124211-4AAD-49B8-AEF0-811A01F69534}"/>
    <cellStyle name="60% - Accent1 2 43" xfId="537" xr:uid="{AF44BEF6-81E6-406C-B281-248B7C44F7FC}"/>
    <cellStyle name="60% - Accent1 2 44" xfId="538" xr:uid="{7353E035-F019-4F54-B929-88D52FC1A3FB}"/>
    <cellStyle name="60% - Accent1 2 45" xfId="539" xr:uid="{DCA14393-6562-412F-B073-C123655056DF}"/>
    <cellStyle name="60% - Accent1 2 46" xfId="540" xr:uid="{649590FB-84A4-4DFA-8887-94FB225AFC8E}"/>
    <cellStyle name="60% - Accent1 2 47" xfId="541" xr:uid="{7D4E7E49-3D61-4998-9BB8-68680C2524DB}"/>
    <cellStyle name="60% - Accent1 2 48" xfId="542" xr:uid="{06A7A75B-55ED-4B39-A614-13E48CC06DC9}"/>
    <cellStyle name="60% - Accent1 2 49" xfId="543" xr:uid="{A1A1D56B-7DD1-42D9-A0B8-0E3A1B21A8BD}"/>
    <cellStyle name="60% - Accent1 2 5" xfId="544" xr:uid="{FB6B85B4-2AF8-4CE0-9104-7B4363A44600}"/>
    <cellStyle name="60% - Accent1 2 6" xfId="545" xr:uid="{B39DEE3B-E168-4BEE-9963-8873F077BED8}"/>
    <cellStyle name="60% - Accent1 2 7" xfId="546" xr:uid="{2041F400-89DA-4C47-8048-DC3F49B343F9}"/>
    <cellStyle name="60% - Accent1 2 8" xfId="547" xr:uid="{E4FD18C3-2D40-4D57-A01D-197FF75C5E9E}"/>
    <cellStyle name="60% - Accent1 2 9" xfId="548" xr:uid="{1C158A81-0746-41A8-AFB1-10711A6308D4}"/>
    <cellStyle name="60% - Accent2 2" xfId="549" xr:uid="{F9474789-B351-464D-980B-44B495AE7E29}"/>
    <cellStyle name="60% - Accent2 2 10" xfId="550" xr:uid="{983DC147-E025-412D-A5B3-5EA59D2648FC}"/>
    <cellStyle name="60% - Accent2 2 11" xfId="551" xr:uid="{073E3AB7-DF90-47E5-8364-1BE45F33D51A}"/>
    <cellStyle name="60% - Accent2 2 12" xfId="552" xr:uid="{85D226E6-2239-4A20-B61D-D24C3825264C}"/>
    <cellStyle name="60% - Accent2 2 13" xfId="553" xr:uid="{C7CF3B25-2A04-4C69-BDD8-457EC87955E6}"/>
    <cellStyle name="60% - Accent2 2 14" xfId="554" xr:uid="{6D97DA99-B53F-416A-A678-EEBF415D090D}"/>
    <cellStyle name="60% - Accent2 2 15" xfId="555" xr:uid="{79B5BFFB-0B21-4A2D-B73C-E24BAF43F3B4}"/>
    <cellStyle name="60% - Accent2 2 16" xfId="556" xr:uid="{D83F606F-8ECB-41AD-97BF-4790B6926573}"/>
    <cellStyle name="60% - Accent2 2 17" xfId="557" xr:uid="{CBB75681-173E-4AB1-9B62-3B025E82CE80}"/>
    <cellStyle name="60% - Accent2 2 18" xfId="558" xr:uid="{4763ABBE-91C1-4EB4-B0A5-2086CBC63F40}"/>
    <cellStyle name="60% - Accent2 2 19" xfId="559" xr:uid="{67606DC4-FC6D-4758-B3B9-02A8F88853CB}"/>
    <cellStyle name="60% - Accent2 2 2" xfId="560" xr:uid="{5496940F-6E1B-4270-AC3F-178780D3D9B7}"/>
    <cellStyle name="60% - Accent2 2 20" xfId="561" xr:uid="{92FEBC52-32EC-4E29-9A5A-7E6E38590AB5}"/>
    <cellStyle name="60% - Accent2 2 21" xfId="562" xr:uid="{81C8852D-236F-485C-861F-8D214DE04A52}"/>
    <cellStyle name="60% - Accent2 2 22" xfId="563" xr:uid="{36EB5D1C-F59B-4B28-B696-ABAFF8E27EC1}"/>
    <cellStyle name="60% - Accent2 2 23" xfId="564" xr:uid="{597D5B24-0F06-4807-904C-6986DCC36784}"/>
    <cellStyle name="60% - Accent2 2 24" xfId="565" xr:uid="{B0C8B711-1953-4061-BA9D-4F63D6682292}"/>
    <cellStyle name="60% - Accent2 2 25" xfId="566" xr:uid="{861E22C1-47D0-4C0A-9BDF-23DCE7B73C3C}"/>
    <cellStyle name="60% - Accent2 2 26" xfId="567" xr:uid="{3E588244-6A1D-479A-A702-9FBD2028D5D0}"/>
    <cellStyle name="60% - Accent2 2 27" xfId="568" xr:uid="{FC61AAB7-FBA0-4D8A-A47A-B5D5448D3C9F}"/>
    <cellStyle name="60% - Accent2 2 28" xfId="569" xr:uid="{1E09D8DF-4637-41C7-BBD8-FA641A10FBEE}"/>
    <cellStyle name="60% - Accent2 2 29" xfId="570" xr:uid="{6B4D61B1-E463-4B59-B2DC-5CDB0DE6C3A4}"/>
    <cellStyle name="60% - Accent2 2 3" xfId="571" xr:uid="{3BE65BD8-DB50-43DC-9098-EFA893E2C48E}"/>
    <cellStyle name="60% - Accent2 2 30" xfId="572" xr:uid="{02291AEB-EB5B-4B45-AD62-9C527685D8FC}"/>
    <cellStyle name="60% - Accent2 2 31" xfId="573" xr:uid="{B7332418-87F1-4EDD-9AD6-98A1723BE7D7}"/>
    <cellStyle name="60% - Accent2 2 32" xfId="574" xr:uid="{33EF9D87-8E94-4F49-9104-4AC10D860526}"/>
    <cellStyle name="60% - Accent2 2 33" xfId="575" xr:uid="{877309E0-FBC9-4351-9C0E-743F0EA9BB2F}"/>
    <cellStyle name="60% - Accent2 2 34" xfId="576" xr:uid="{C5BC64FD-2DFC-467F-BC3B-336C10800693}"/>
    <cellStyle name="60% - Accent2 2 35" xfId="577" xr:uid="{2E1D83FA-8AA4-447B-9DC9-E6A08A79F3D0}"/>
    <cellStyle name="60% - Accent2 2 36" xfId="578" xr:uid="{ECA93882-257C-4FBD-AC4A-8FFB3ABA9A6E}"/>
    <cellStyle name="60% - Accent2 2 37" xfId="579" xr:uid="{90E4035C-F323-4C40-85B3-51631C1DFA3A}"/>
    <cellStyle name="60% - Accent2 2 38" xfId="580" xr:uid="{9E77DCCE-3C2C-4FAB-9D7B-89C0354FA2D1}"/>
    <cellStyle name="60% - Accent2 2 39" xfId="581" xr:uid="{08E633F9-0377-4B01-8F8B-03A0AD93F791}"/>
    <cellStyle name="60% - Accent2 2 4" xfId="582" xr:uid="{A20B2015-E020-443A-92FB-9EE076BD3507}"/>
    <cellStyle name="60% - Accent2 2 40" xfId="583" xr:uid="{801BFE2F-F7D9-443C-AC96-542F86F8808F}"/>
    <cellStyle name="60% - Accent2 2 41" xfId="584" xr:uid="{D4E5490B-AE27-47A7-B7D9-9D6E1641D319}"/>
    <cellStyle name="60% - Accent2 2 42" xfId="585" xr:uid="{A7A5512F-9C30-4197-924B-420DFC6EBDAE}"/>
    <cellStyle name="60% - Accent2 2 43" xfId="586" xr:uid="{E470D28A-9687-4D30-A896-84C7590F62A9}"/>
    <cellStyle name="60% - Accent2 2 44" xfId="587" xr:uid="{EA04D690-5D84-4F17-885D-C7D6AED1355F}"/>
    <cellStyle name="60% - Accent2 2 45" xfId="588" xr:uid="{6D599BE2-83C7-4405-A3E8-ECA078CF55E7}"/>
    <cellStyle name="60% - Accent2 2 46" xfId="589" xr:uid="{1095121E-8D06-40E5-9608-FB063D8ECDCA}"/>
    <cellStyle name="60% - Accent2 2 47" xfId="590" xr:uid="{AA110859-C428-4F03-AA78-C600A16129F9}"/>
    <cellStyle name="60% - Accent2 2 48" xfId="591" xr:uid="{792AAA92-73E5-46E0-8BA6-BFD6DC7B4186}"/>
    <cellStyle name="60% - Accent2 2 49" xfId="592" xr:uid="{E473BDDF-088C-433E-995C-46E0B513FEDD}"/>
    <cellStyle name="60% - Accent2 2 5" xfId="593" xr:uid="{EF5E81C3-0A01-4CC4-BC5B-F88F36BCD025}"/>
    <cellStyle name="60% - Accent2 2 6" xfId="594" xr:uid="{1D42774D-08F3-4F4F-A258-9D119978F57B}"/>
    <cellStyle name="60% - Accent2 2 7" xfId="595" xr:uid="{F5403EBE-0343-47C2-A027-D0B2C0BAD940}"/>
    <cellStyle name="60% - Accent2 2 8" xfId="596" xr:uid="{9F9D4C93-89A4-429C-BF96-661F473CA460}"/>
    <cellStyle name="60% - Accent2 2 9" xfId="597" xr:uid="{2A627ACA-961A-49B6-B1E8-55BF0337E203}"/>
    <cellStyle name="60% - Accent3 2" xfId="598" xr:uid="{F56D7316-53AA-4CE0-9AC0-322C467B164A}"/>
    <cellStyle name="60% - Accent3 2 10" xfId="599" xr:uid="{EFC27337-C7AA-4A17-A372-DDC530177E8A}"/>
    <cellStyle name="60% - Accent3 2 11" xfId="600" xr:uid="{53522FB1-52F3-4079-879E-192779498C4C}"/>
    <cellStyle name="60% - Accent3 2 12" xfId="601" xr:uid="{B95C8C5E-0E3D-43BC-8B8E-A87A72EFFCDF}"/>
    <cellStyle name="60% - Accent3 2 13" xfId="602" xr:uid="{C9BCCE68-B6BF-4EC1-BD1D-824C4C31A8F3}"/>
    <cellStyle name="60% - Accent3 2 14" xfId="603" xr:uid="{615DDBF9-D9CD-4727-984A-C33AB394B130}"/>
    <cellStyle name="60% - Accent3 2 15" xfId="604" xr:uid="{4631605B-3A16-457A-8E74-CC105505689F}"/>
    <cellStyle name="60% - Accent3 2 16" xfId="605" xr:uid="{BCB42479-8B93-4D4C-856C-760959F9ECEC}"/>
    <cellStyle name="60% - Accent3 2 17" xfId="606" xr:uid="{0B99D30C-5F30-4089-8FCD-4763FFB0AD11}"/>
    <cellStyle name="60% - Accent3 2 18" xfId="607" xr:uid="{102F6E11-0A64-407D-ACC4-252572FA41FF}"/>
    <cellStyle name="60% - Accent3 2 19" xfId="608" xr:uid="{D1FA4D48-C589-48A5-9A9C-24568D8D7FC7}"/>
    <cellStyle name="60% - Accent3 2 2" xfId="609" xr:uid="{D6BBFAA8-C2CA-4699-8344-095E3DA650A8}"/>
    <cellStyle name="60% - Accent3 2 20" xfId="610" xr:uid="{1D9109E0-DC0C-4C67-87F4-4F5BED91EBAC}"/>
    <cellStyle name="60% - Accent3 2 21" xfId="611" xr:uid="{2E8A1636-482F-406B-AF30-B38874699031}"/>
    <cellStyle name="60% - Accent3 2 22" xfId="612" xr:uid="{8033AC1C-4100-4181-8639-F93CC916DD46}"/>
    <cellStyle name="60% - Accent3 2 23" xfId="613" xr:uid="{ACA95D8E-DFF8-419B-BE84-C73E02708BBA}"/>
    <cellStyle name="60% - Accent3 2 24" xfId="614" xr:uid="{BABB5B98-77E1-4B76-B418-EACC023EEB1F}"/>
    <cellStyle name="60% - Accent3 2 25" xfId="615" xr:uid="{5CEB0172-AAEB-4D00-99EA-92CBF81B99A1}"/>
    <cellStyle name="60% - Accent3 2 26" xfId="616" xr:uid="{91C7958B-C908-45E0-B3A4-24ABD44BD5EC}"/>
    <cellStyle name="60% - Accent3 2 27" xfId="617" xr:uid="{F40761C0-F7D7-4A7A-89EA-C1FBD21C898E}"/>
    <cellStyle name="60% - Accent3 2 28" xfId="618" xr:uid="{EE097F6C-8F91-4E19-A52F-D7FAE1343383}"/>
    <cellStyle name="60% - Accent3 2 29" xfId="619" xr:uid="{42AB8CB7-FEA2-497B-98CE-CD047F45B101}"/>
    <cellStyle name="60% - Accent3 2 3" xfId="620" xr:uid="{7C6953E8-A278-473F-890D-6573C6C1498C}"/>
    <cellStyle name="60% - Accent3 2 30" xfId="621" xr:uid="{8532C6AA-6F61-412D-BA98-4F3F37A995D1}"/>
    <cellStyle name="60% - Accent3 2 31" xfId="622" xr:uid="{459ED10D-85C6-4FC5-A5F0-691A48EFA696}"/>
    <cellStyle name="60% - Accent3 2 32" xfId="623" xr:uid="{4A06A0A7-49AF-47A6-901A-B5D26D39463B}"/>
    <cellStyle name="60% - Accent3 2 33" xfId="624" xr:uid="{EFB68DF6-763B-467C-8281-D6A81B1C433C}"/>
    <cellStyle name="60% - Accent3 2 34" xfId="625" xr:uid="{B3522DC5-30FC-430B-B68C-F4513DFE978A}"/>
    <cellStyle name="60% - Accent3 2 35" xfId="626" xr:uid="{FE8C4D42-0D17-45AF-8B97-B703217EB3B3}"/>
    <cellStyle name="60% - Accent3 2 36" xfId="627" xr:uid="{C84C56B4-4E6B-4BD1-85BF-4BC41616CE50}"/>
    <cellStyle name="60% - Accent3 2 37" xfId="628" xr:uid="{A7CE2678-D252-4B9D-BF29-080F6935DA01}"/>
    <cellStyle name="60% - Accent3 2 38" xfId="629" xr:uid="{929F5AD9-FB46-4F0F-8808-DEEDC79E4AC5}"/>
    <cellStyle name="60% - Accent3 2 39" xfId="630" xr:uid="{43A4F0AC-BCAF-4C95-92A3-09D3F4C2C4D0}"/>
    <cellStyle name="60% - Accent3 2 4" xfId="631" xr:uid="{EEAE6CDE-7D83-4628-9E58-D15C9872CC41}"/>
    <cellStyle name="60% - Accent3 2 40" xfId="632" xr:uid="{34E9A0D0-3369-491C-9054-F23FEAF5BC1B}"/>
    <cellStyle name="60% - Accent3 2 41" xfId="633" xr:uid="{58D75643-F15B-450F-A712-4AB8C86E36DA}"/>
    <cellStyle name="60% - Accent3 2 42" xfId="634" xr:uid="{DDD1B7C0-9080-4980-B93A-CAD49564D1A9}"/>
    <cellStyle name="60% - Accent3 2 43" xfId="635" xr:uid="{3FC4D437-7F88-4BEB-8926-AB846076E7C7}"/>
    <cellStyle name="60% - Accent3 2 44" xfId="636" xr:uid="{ABA9380F-1813-47EC-80E3-91179B1667F7}"/>
    <cellStyle name="60% - Accent3 2 45" xfId="637" xr:uid="{48FCF881-CC17-4FCA-B077-708E1236ED7C}"/>
    <cellStyle name="60% - Accent3 2 46" xfId="638" xr:uid="{07696E79-6BC9-4086-85EC-B37AF7A59B64}"/>
    <cellStyle name="60% - Accent3 2 47" xfId="639" xr:uid="{F3CC9504-2909-44DC-A6A3-C470349003CA}"/>
    <cellStyle name="60% - Accent3 2 48" xfId="640" xr:uid="{27B04995-451D-4DA3-84B1-D3E6D1682DE8}"/>
    <cellStyle name="60% - Accent3 2 49" xfId="641" xr:uid="{2B0111E6-4211-477E-BC50-576D46211F54}"/>
    <cellStyle name="60% - Accent3 2 5" xfId="642" xr:uid="{C4C002B9-34B5-4F7F-9EA8-0FC70811710F}"/>
    <cellStyle name="60% - Accent3 2 6" xfId="643" xr:uid="{C59B7271-A006-4A76-B5A7-77C552FC751C}"/>
    <cellStyle name="60% - Accent3 2 7" xfId="644" xr:uid="{77765D0D-42A7-473D-9D40-9360DBAA44A9}"/>
    <cellStyle name="60% - Accent3 2 8" xfId="645" xr:uid="{CE13781A-4BC9-4A81-9135-DFDD55AB753A}"/>
    <cellStyle name="60% - Accent3 2 9" xfId="646" xr:uid="{742F22F1-08F9-43EF-A150-3619A1298342}"/>
    <cellStyle name="60% - Accent4 2" xfId="647" xr:uid="{3048A3BA-E877-492E-975A-731E41C43158}"/>
    <cellStyle name="60% - Accent4 2 10" xfId="648" xr:uid="{97BD62D7-2330-4568-BC9D-D2E015AD0096}"/>
    <cellStyle name="60% - Accent4 2 11" xfId="649" xr:uid="{DC8FB6C6-3B26-4B68-B4FB-960A1D22E674}"/>
    <cellStyle name="60% - Accent4 2 12" xfId="650" xr:uid="{EB2289FA-19B2-4136-9909-DF804948719E}"/>
    <cellStyle name="60% - Accent4 2 13" xfId="651" xr:uid="{AADECFD5-13ED-4F48-AC4A-179810369CE1}"/>
    <cellStyle name="60% - Accent4 2 14" xfId="652" xr:uid="{3D4FA671-6083-4EDD-9E42-CCE02A630B0B}"/>
    <cellStyle name="60% - Accent4 2 15" xfId="653" xr:uid="{44CD0DD3-F78C-4CBD-873E-1CD8F826E223}"/>
    <cellStyle name="60% - Accent4 2 16" xfId="654" xr:uid="{B9495D3F-D7B1-4B73-A613-D01743B403C6}"/>
    <cellStyle name="60% - Accent4 2 17" xfId="655" xr:uid="{6212638D-5E1D-4A0F-BDF7-F3A2D83B58AC}"/>
    <cellStyle name="60% - Accent4 2 18" xfId="656" xr:uid="{2F6C7A83-638A-417B-8BED-E4C3967BA7BC}"/>
    <cellStyle name="60% - Accent4 2 19" xfId="657" xr:uid="{042744AC-FE1E-4658-ACE2-F55BA572FDE5}"/>
    <cellStyle name="60% - Accent4 2 2" xfId="658" xr:uid="{7A3A6082-A457-47EA-B031-D6AFD441BFD0}"/>
    <cellStyle name="60% - Accent4 2 20" xfId="659" xr:uid="{3F751825-5FED-487C-A197-B0006A61E051}"/>
    <cellStyle name="60% - Accent4 2 21" xfId="660" xr:uid="{DCC4CA73-99E9-4BF1-B4DA-A597D5F93643}"/>
    <cellStyle name="60% - Accent4 2 22" xfId="661" xr:uid="{D62A2B60-6ABE-4C82-BDF9-D09818FCAF2F}"/>
    <cellStyle name="60% - Accent4 2 23" xfId="662" xr:uid="{F5328B2B-D97C-46C5-B581-1BF69222AD6F}"/>
    <cellStyle name="60% - Accent4 2 24" xfId="663" xr:uid="{F4C96EE7-9EFF-4577-97BB-70C26B9130CA}"/>
    <cellStyle name="60% - Accent4 2 25" xfId="664" xr:uid="{EA631F86-64AC-4D54-9658-355D21FA2B55}"/>
    <cellStyle name="60% - Accent4 2 26" xfId="665" xr:uid="{143943F9-7406-4BE8-B860-D71A10A37484}"/>
    <cellStyle name="60% - Accent4 2 27" xfId="666" xr:uid="{1D0777A5-1D96-4D2D-8A3C-FA4F95BC6E49}"/>
    <cellStyle name="60% - Accent4 2 28" xfId="667" xr:uid="{D6B0933B-8A6F-41AB-9614-00D4EF324592}"/>
    <cellStyle name="60% - Accent4 2 29" xfId="668" xr:uid="{3FFD1A8E-D14C-4030-89CE-5BFA792BA10A}"/>
    <cellStyle name="60% - Accent4 2 3" xfId="669" xr:uid="{B5758E86-23E9-44D8-BA95-E4861FF9839B}"/>
    <cellStyle name="60% - Accent4 2 30" xfId="670" xr:uid="{98A3C568-B572-4316-BC5E-A92B0ECE0B8E}"/>
    <cellStyle name="60% - Accent4 2 31" xfId="671" xr:uid="{EF74420A-A970-4A6C-B372-963ACCAC37FB}"/>
    <cellStyle name="60% - Accent4 2 32" xfId="672" xr:uid="{B4165A23-E126-4732-BAC8-3718E88A5C0D}"/>
    <cellStyle name="60% - Accent4 2 33" xfId="673" xr:uid="{3E92174F-64CA-47FF-9422-482BFD85A7E9}"/>
    <cellStyle name="60% - Accent4 2 34" xfId="674" xr:uid="{A9CAFA9E-41A7-46E6-9830-8DD09C2A8A90}"/>
    <cellStyle name="60% - Accent4 2 35" xfId="675" xr:uid="{A48A1BE2-814E-47E5-8586-0B54283760EF}"/>
    <cellStyle name="60% - Accent4 2 36" xfId="676" xr:uid="{E109ED79-BC81-4885-965A-9F04D349BDFC}"/>
    <cellStyle name="60% - Accent4 2 37" xfId="677" xr:uid="{8CA6C9A3-F636-4B14-907C-9D1B4842A6F5}"/>
    <cellStyle name="60% - Accent4 2 38" xfId="678" xr:uid="{77E110FA-3C7B-4F5D-81F2-7706EC9B6A3F}"/>
    <cellStyle name="60% - Accent4 2 39" xfId="679" xr:uid="{D110FE03-39DA-4E46-941F-CD6C09EC3192}"/>
    <cellStyle name="60% - Accent4 2 4" xfId="680" xr:uid="{4EFED6DC-D86F-43C0-B2A3-5018853E28EB}"/>
    <cellStyle name="60% - Accent4 2 40" xfId="681" xr:uid="{7DD83597-E499-43AA-9EBD-F9C5FC72738C}"/>
    <cellStyle name="60% - Accent4 2 41" xfId="682" xr:uid="{8F9FD620-79A2-41BD-B210-DC5B686DFB1C}"/>
    <cellStyle name="60% - Accent4 2 42" xfId="683" xr:uid="{6A624BFE-57E4-40DF-B476-CA1B4E2B599C}"/>
    <cellStyle name="60% - Accent4 2 43" xfId="684" xr:uid="{D7267926-85E8-4EFA-8231-9D882988CDAE}"/>
    <cellStyle name="60% - Accent4 2 44" xfId="685" xr:uid="{CE75A637-C3F1-4771-BFBB-8B614E9B453B}"/>
    <cellStyle name="60% - Accent4 2 45" xfId="686" xr:uid="{9D8241FB-B22D-40E5-911D-12997A379848}"/>
    <cellStyle name="60% - Accent4 2 46" xfId="687" xr:uid="{DCFB809F-EE6E-4AAD-9151-04D236140CA8}"/>
    <cellStyle name="60% - Accent4 2 47" xfId="688" xr:uid="{2882D245-E88B-4C61-A722-19597C91AB11}"/>
    <cellStyle name="60% - Accent4 2 48" xfId="689" xr:uid="{DC44558B-363F-4653-A72F-997FD476B157}"/>
    <cellStyle name="60% - Accent4 2 49" xfId="690" xr:uid="{90E58E74-874B-4357-9B63-113FBE625B3D}"/>
    <cellStyle name="60% - Accent4 2 5" xfId="691" xr:uid="{CE9AA776-56F6-4750-904C-6CB675625D68}"/>
    <cellStyle name="60% - Accent4 2 6" xfId="692" xr:uid="{CBA008EA-66EF-4538-BFA8-55D81A052C91}"/>
    <cellStyle name="60% - Accent4 2 7" xfId="693" xr:uid="{13667806-0594-4DDE-94CC-BF561100CADB}"/>
    <cellStyle name="60% - Accent4 2 8" xfId="694" xr:uid="{4C487EDE-35E2-4280-A097-ED84017D70C4}"/>
    <cellStyle name="60% - Accent4 2 9" xfId="695" xr:uid="{75DB7396-0525-4A79-99D7-A9B43427424B}"/>
    <cellStyle name="60% - Accent5 2" xfId="696" xr:uid="{076856D8-614B-4C3E-B0AD-6FAAF2F6F33D}"/>
    <cellStyle name="60% - Accent5 2 10" xfId="697" xr:uid="{0EFCFA7B-4E0A-43FA-AC76-7656D140F408}"/>
    <cellStyle name="60% - Accent5 2 11" xfId="698" xr:uid="{68DA0CA4-8241-4390-9CAF-3A52F2F1F9AB}"/>
    <cellStyle name="60% - Accent5 2 12" xfId="699" xr:uid="{802B27AB-F1D9-49E9-AD6D-369138DF3993}"/>
    <cellStyle name="60% - Accent5 2 13" xfId="700" xr:uid="{ADC25D17-020E-44F9-8B41-F5D0B8A70A57}"/>
    <cellStyle name="60% - Accent5 2 14" xfId="701" xr:uid="{4DBD2461-564B-411F-93B8-D27B9C225A82}"/>
    <cellStyle name="60% - Accent5 2 15" xfId="702" xr:uid="{BF5377A0-3301-47A3-8DA4-D650E5491901}"/>
    <cellStyle name="60% - Accent5 2 16" xfId="703" xr:uid="{F804861E-48C3-40B3-A2F1-BE7BA5ABBF82}"/>
    <cellStyle name="60% - Accent5 2 17" xfId="704" xr:uid="{136CB5A8-555F-4E1F-8A88-CB434BDAA3DC}"/>
    <cellStyle name="60% - Accent5 2 18" xfId="705" xr:uid="{4D863D14-E9EB-4CFE-8FE7-C45E472CCE46}"/>
    <cellStyle name="60% - Accent5 2 19" xfId="706" xr:uid="{03CE66D4-1B65-4E88-BDF7-58D9DC3DF285}"/>
    <cellStyle name="60% - Accent5 2 2" xfId="707" xr:uid="{9BC5E953-E1F6-4A77-89B6-C6E548077559}"/>
    <cellStyle name="60% - Accent5 2 20" xfId="708" xr:uid="{A1DA6343-7E7B-4D89-829E-340116B77BEF}"/>
    <cellStyle name="60% - Accent5 2 21" xfId="709" xr:uid="{5C2BE7DB-162D-475E-9016-3CD763B0433F}"/>
    <cellStyle name="60% - Accent5 2 22" xfId="710" xr:uid="{CAE7DCA0-CCBB-42B5-B8F0-8262090C1102}"/>
    <cellStyle name="60% - Accent5 2 23" xfId="711" xr:uid="{01707F24-FA1C-430B-9835-947944080692}"/>
    <cellStyle name="60% - Accent5 2 24" xfId="712" xr:uid="{A53F516D-2438-44F2-96E2-2F91EE8CF263}"/>
    <cellStyle name="60% - Accent5 2 25" xfId="713" xr:uid="{996CFA4F-9187-4AF9-A4D8-019022FB79FA}"/>
    <cellStyle name="60% - Accent5 2 26" xfId="714" xr:uid="{A9E18364-7C5B-485D-9025-401A308E593E}"/>
    <cellStyle name="60% - Accent5 2 27" xfId="715" xr:uid="{E41A8D0C-97D2-4651-9746-BD9C6B8395ED}"/>
    <cellStyle name="60% - Accent5 2 28" xfId="716" xr:uid="{5CBB4436-EBCA-41D9-8411-FAC24D57C695}"/>
    <cellStyle name="60% - Accent5 2 29" xfId="717" xr:uid="{A4C89413-885F-4B73-BD3E-D1B830C42C42}"/>
    <cellStyle name="60% - Accent5 2 3" xfId="718" xr:uid="{CB049563-7173-4D55-AB6F-E5F98A411530}"/>
    <cellStyle name="60% - Accent5 2 30" xfId="719" xr:uid="{8E09705F-69FB-49A0-8646-CB2DCF706CDD}"/>
    <cellStyle name="60% - Accent5 2 31" xfId="720" xr:uid="{89E57149-280A-4D14-AB8D-E6D5571FD95A}"/>
    <cellStyle name="60% - Accent5 2 32" xfId="721" xr:uid="{74E15C75-2258-41DA-80FE-ED83DFD81520}"/>
    <cellStyle name="60% - Accent5 2 33" xfId="722" xr:uid="{194591A7-4B8D-444F-BA7E-A7BE576F72C5}"/>
    <cellStyle name="60% - Accent5 2 34" xfId="723" xr:uid="{58C438EE-20C9-42FE-931F-923A8CB812C5}"/>
    <cellStyle name="60% - Accent5 2 35" xfId="724" xr:uid="{76CD05A3-81A8-46C3-B925-6B53AD18AA79}"/>
    <cellStyle name="60% - Accent5 2 36" xfId="725" xr:uid="{FF4163E6-179C-407C-A33A-26CA7B4CC9BA}"/>
    <cellStyle name="60% - Accent5 2 37" xfId="726" xr:uid="{19EB4FA6-B225-48A2-B53E-FB4614F2CE69}"/>
    <cellStyle name="60% - Accent5 2 38" xfId="727" xr:uid="{069E1140-2FD5-4D1E-8B8A-7A1934F93C53}"/>
    <cellStyle name="60% - Accent5 2 39" xfId="728" xr:uid="{CB8F2787-E443-4562-962B-FCD8CD1D7702}"/>
    <cellStyle name="60% - Accent5 2 4" xfId="729" xr:uid="{E62D5F4A-2246-4D1A-9A68-ACFB31C5F4AB}"/>
    <cellStyle name="60% - Accent5 2 40" xfId="730" xr:uid="{F7C67438-6DEC-435F-8A27-1D479F84D759}"/>
    <cellStyle name="60% - Accent5 2 41" xfId="731" xr:uid="{643C27F8-BD8B-46D4-82B2-2A595D24E8DB}"/>
    <cellStyle name="60% - Accent5 2 42" xfId="732" xr:uid="{68A25FC4-3B82-4391-8D60-A54F0695E63C}"/>
    <cellStyle name="60% - Accent5 2 43" xfId="733" xr:uid="{0D16BBD6-B7BC-4361-96AC-189A7E6BFCD8}"/>
    <cellStyle name="60% - Accent5 2 44" xfId="734" xr:uid="{61A72087-F24F-4026-BE18-D0DEC6114760}"/>
    <cellStyle name="60% - Accent5 2 45" xfId="735" xr:uid="{A71CA051-5019-467C-98F6-416BDEE14836}"/>
    <cellStyle name="60% - Accent5 2 46" xfId="736" xr:uid="{72D0F5E1-BE6B-4ED2-9283-22FD538BFB87}"/>
    <cellStyle name="60% - Accent5 2 47" xfId="737" xr:uid="{2E5A7AB6-C431-40D0-8DCD-6314730B126E}"/>
    <cellStyle name="60% - Accent5 2 48" xfId="738" xr:uid="{E9B9B4DE-F552-4B96-AE5C-EE3B3B2AF01A}"/>
    <cellStyle name="60% - Accent5 2 49" xfId="739" xr:uid="{5292260C-CC96-4E62-B8E0-6B9FD8695150}"/>
    <cellStyle name="60% - Accent5 2 5" xfId="740" xr:uid="{546D6FE0-1C55-4A8F-AC71-C651B0DD6327}"/>
    <cellStyle name="60% - Accent5 2 6" xfId="741" xr:uid="{D6947B4A-E45F-45FF-B30C-39EFC781797F}"/>
    <cellStyle name="60% - Accent5 2 7" xfId="742" xr:uid="{A442BE70-0CFD-483B-90F0-795E606769CE}"/>
    <cellStyle name="60% - Accent5 2 8" xfId="743" xr:uid="{2C5E100F-C86A-4262-85A4-1C4BEA2058EA}"/>
    <cellStyle name="60% - Accent5 2 9" xfId="744" xr:uid="{79F18E6D-C352-456A-B806-220BAF5782A9}"/>
    <cellStyle name="60% - Accent6 2" xfId="745" xr:uid="{93A99FC4-3F91-45B7-9413-9F51F49C84C8}"/>
    <cellStyle name="60% - Accent6 2 10" xfId="746" xr:uid="{776B1859-91A9-406B-9EF9-CA10157CEEAF}"/>
    <cellStyle name="60% - Accent6 2 11" xfId="747" xr:uid="{0CD56BC0-5DE0-4CF1-BF0A-1992248D19C8}"/>
    <cellStyle name="60% - Accent6 2 12" xfId="748" xr:uid="{3DA59F42-1CC8-4E19-8CD5-91B2FA69F716}"/>
    <cellStyle name="60% - Accent6 2 13" xfId="749" xr:uid="{8FCECD73-173B-4518-B095-595824A88CC1}"/>
    <cellStyle name="60% - Accent6 2 14" xfId="750" xr:uid="{5445926F-E54E-492F-9276-E2682E86103C}"/>
    <cellStyle name="60% - Accent6 2 15" xfId="751" xr:uid="{942BBAD0-734E-4678-B278-6AE3562F7475}"/>
    <cellStyle name="60% - Accent6 2 16" xfId="752" xr:uid="{EAE77E04-AEE2-42B7-9F6A-982A4518FB73}"/>
    <cellStyle name="60% - Accent6 2 17" xfId="753" xr:uid="{73065A3A-E137-46C8-A1FA-BB82F1C86D49}"/>
    <cellStyle name="60% - Accent6 2 18" xfId="754" xr:uid="{F48FF709-ED34-4974-AE90-0DF5E47D4BB3}"/>
    <cellStyle name="60% - Accent6 2 19" xfId="755" xr:uid="{75765F77-9908-4C6C-8612-1CE04324C3A8}"/>
    <cellStyle name="60% - Accent6 2 2" xfId="756" xr:uid="{3E74AE17-CE9A-4D58-B8CC-F8AD69CDEE7A}"/>
    <cellStyle name="60% - Accent6 2 20" xfId="757" xr:uid="{C1F34BEF-5A02-4748-84C1-5C8E06CA4D7C}"/>
    <cellStyle name="60% - Accent6 2 21" xfId="758" xr:uid="{944875F1-E932-4043-BC1F-4A8D4126AC2E}"/>
    <cellStyle name="60% - Accent6 2 22" xfId="759" xr:uid="{E23412D7-9253-43FE-9B41-FEB5A603B2CC}"/>
    <cellStyle name="60% - Accent6 2 23" xfId="760" xr:uid="{34D0A1E9-BB0E-45F7-A460-5B488EE0C698}"/>
    <cellStyle name="60% - Accent6 2 24" xfId="761" xr:uid="{69E711C1-61E4-4EC4-ACFB-CCEC8A53B080}"/>
    <cellStyle name="60% - Accent6 2 25" xfId="762" xr:uid="{1E370CE1-8B6C-48E9-AAA2-B3F02E904176}"/>
    <cellStyle name="60% - Accent6 2 26" xfId="763" xr:uid="{815DF952-C305-4D93-84B0-2D259DC69159}"/>
    <cellStyle name="60% - Accent6 2 27" xfId="764" xr:uid="{1520A78F-9635-49DF-8D57-535BA2D88E70}"/>
    <cellStyle name="60% - Accent6 2 28" xfId="765" xr:uid="{BB231B7C-305B-4BEF-8D63-23BFA30A579B}"/>
    <cellStyle name="60% - Accent6 2 29" xfId="766" xr:uid="{3F0D3F22-161D-4E6C-8C7D-9765B2ACBFBF}"/>
    <cellStyle name="60% - Accent6 2 3" xfId="767" xr:uid="{DA64AEE6-11EC-4C51-9693-7929E3EC8F2F}"/>
    <cellStyle name="60% - Accent6 2 30" xfId="768" xr:uid="{DD90B35F-0D28-4ACA-8CA9-FC3030F78B2B}"/>
    <cellStyle name="60% - Accent6 2 31" xfId="769" xr:uid="{6F677D45-206E-438E-A6FC-59655A27E399}"/>
    <cellStyle name="60% - Accent6 2 32" xfId="770" xr:uid="{3ABE4B09-A5FA-4355-BAA3-8D10BB355946}"/>
    <cellStyle name="60% - Accent6 2 33" xfId="771" xr:uid="{3AE21947-3758-4860-8007-C485273141B7}"/>
    <cellStyle name="60% - Accent6 2 34" xfId="772" xr:uid="{DD72329A-251A-40C1-A0A5-359C71C45E7E}"/>
    <cellStyle name="60% - Accent6 2 35" xfId="773" xr:uid="{8696C6C6-BF45-4631-A00F-F19F852D814D}"/>
    <cellStyle name="60% - Accent6 2 36" xfId="774" xr:uid="{E0D355BD-E767-4D47-9832-C3F58BC2AF47}"/>
    <cellStyle name="60% - Accent6 2 37" xfId="775" xr:uid="{2ABBEEAE-8AFF-4198-ADD4-0282292585D0}"/>
    <cellStyle name="60% - Accent6 2 38" xfId="776" xr:uid="{D1D3B2A1-B8EB-4177-8BB1-2EEFB5DF6033}"/>
    <cellStyle name="60% - Accent6 2 39" xfId="777" xr:uid="{6CBF3524-4EA3-4B08-A43A-3AD156E7EED5}"/>
    <cellStyle name="60% - Accent6 2 4" xfId="778" xr:uid="{86741A49-7D9E-4F8A-869A-E3EEB61D6C9E}"/>
    <cellStyle name="60% - Accent6 2 40" xfId="779" xr:uid="{E77E6695-6C7C-4DCE-8CAE-50EEEE907CA8}"/>
    <cellStyle name="60% - Accent6 2 41" xfId="780" xr:uid="{810E2EDD-5B0A-4AD2-8420-B1788157616F}"/>
    <cellStyle name="60% - Accent6 2 42" xfId="781" xr:uid="{A04E3BF1-87EC-406E-897D-123DFD01D8AB}"/>
    <cellStyle name="60% - Accent6 2 43" xfId="782" xr:uid="{11EFF541-F467-4D54-B8B1-085344B0188F}"/>
    <cellStyle name="60% - Accent6 2 44" xfId="783" xr:uid="{77A6EBB9-8F38-45D6-936B-E6833A7496AC}"/>
    <cellStyle name="60% - Accent6 2 45" xfId="784" xr:uid="{DFDCF7DE-274D-4739-A846-8CC7D059174D}"/>
    <cellStyle name="60% - Accent6 2 46" xfId="785" xr:uid="{2D51A614-7C6F-46F3-99C2-CB587484ECB6}"/>
    <cellStyle name="60% - Accent6 2 47" xfId="786" xr:uid="{0A0231FE-8A22-440C-B5D8-2C29751F6108}"/>
    <cellStyle name="60% - Accent6 2 48" xfId="787" xr:uid="{1521115B-751B-4C69-A677-2AE8F6791DA5}"/>
    <cellStyle name="60% - Accent6 2 49" xfId="788" xr:uid="{99CD7A21-48B8-4AFC-B060-41D6D177BE16}"/>
    <cellStyle name="60% - Accent6 2 5" xfId="789" xr:uid="{911D78FD-A1F8-40B3-9E1F-D83B4C65CF29}"/>
    <cellStyle name="60% - Accent6 2 6" xfId="790" xr:uid="{5DC5A679-D471-4CB9-B4CC-381A25DC7E9B}"/>
    <cellStyle name="60% - Accent6 2 7" xfId="791" xr:uid="{969CD4AF-A561-4BC7-987C-B17F20017230}"/>
    <cellStyle name="60% - Accent6 2 8" xfId="792" xr:uid="{EC2DC1C0-EED1-40AE-AC54-70B864226337}"/>
    <cellStyle name="60% - Accent6 2 9" xfId="793" xr:uid="{28BF0E67-8D14-4340-A270-C2804CB5E010}"/>
    <cellStyle name="Accent1 2" xfId="794" xr:uid="{EE103D4B-3346-43FC-B397-533F34567B9C}"/>
    <cellStyle name="Accent1 2 10" xfId="795" xr:uid="{DB8CB440-EE9A-4262-B252-0B32F2F53A1C}"/>
    <cellStyle name="Accent1 2 11" xfId="796" xr:uid="{69EFAC87-8662-4992-8784-121FBD088FDF}"/>
    <cellStyle name="Accent1 2 12" xfId="797" xr:uid="{82014BF8-B8F6-4E75-885C-4F709D172BFE}"/>
    <cellStyle name="Accent1 2 13" xfId="798" xr:uid="{389FA810-8D4D-470C-ACC4-053EBB76A5C5}"/>
    <cellStyle name="Accent1 2 14" xfId="799" xr:uid="{F1EE1250-9524-4344-9853-13111824D224}"/>
    <cellStyle name="Accent1 2 15" xfId="800" xr:uid="{B70F0CE2-AE4D-4EE0-8D5A-80924F09B9D2}"/>
    <cellStyle name="Accent1 2 16" xfId="801" xr:uid="{3ABE1198-F5CE-40AC-9207-81ED2EED80D8}"/>
    <cellStyle name="Accent1 2 17" xfId="802" xr:uid="{5AAFFB64-D712-4BA4-9118-5162C04266D8}"/>
    <cellStyle name="Accent1 2 18" xfId="803" xr:uid="{A84E471B-59C5-4BD1-BA21-FD4BE4DD3720}"/>
    <cellStyle name="Accent1 2 19" xfId="804" xr:uid="{AD2E2FDD-39CF-4056-BDFD-FCA996380B91}"/>
    <cellStyle name="Accent1 2 2" xfId="805" xr:uid="{92C97EFD-DB13-4A5E-A1D6-D5CC918DD61C}"/>
    <cellStyle name="Accent1 2 20" xfId="806" xr:uid="{978AF969-74DE-4C4B-84B7-815B33D0045E}"/>
    <cellStyle name="Accent1 2 21" xfId="807" xr:uid="{4C6E454F-3C3A-480F-AB2B-FB2E40E532C5}"/>
    <cellStyle name="Accent1 2 22" xfId="808" xr:uid="{5DB89A67-36FC-4EC2-AC31-E5CE70C2591C}"/>
    <cellStyle name="Accent1 2 23" xfId="809" xr:uid="{09AE643B-8F74-4488-A17A-DCE07BD76CA6}"/>
    <cellStyle name="Accent1 2 24" xfId="810" xr:uid="{DC440C60-23F2-496C-A3BB-3BDB8D30D680}"/>
    <cellStyle name="Accent1 2 25" xfId="811" xr:uid="{E7AE2DD8-511D-49C2-9382-2BCE61629D8F}"/>
    <cellStyle name="Accent1 2 26" xfId="812" xr:uid="{AEE85727-BD9E-475D-8293-291F78865664}"/>
    <cellStyle name="Accent1 2 27" xfId="813" xr:uid="{A0E6BAE7-7871-4011-A420-8D8F44EC8C4F}"/>
    <cellStyle name="Accent1 2 28" xfId="814" xr:uid="{D483D762-8B3F-4780-87C9-CCC552DBDA3C}"/>
    <cellStyle name="Accent1 2 29" xfId="815" xr:uid="{33509B9B-4E04-4E90-86FF-BDC4EBE39326}"/>
    <cellStyle name="Accent1 2 3" xfId="816" xr:uid="{0E56D25F-15D1-404B-90CB-FFCE4F216891}"/>
    <cellStyle name="Accent1 2 30" xfId="817" xr:uid="{46464AE1-F3AE-4049-B68D-D2F40F579F60}"/>
    <cellStyle name="Accent1 2 31" xfId="818" xr:uid="{9413E9F6-4376-45C4-9CB7-DCBBD134180E}"/>
    <cellStyle name="Accent1 2 32" xfId="819" xr:uid="{9A6975BA-7EA4-4B66-8068-74EAC62FA105}"/>
    <cellStyle name="Accent1 2 33" xfId="820" xr:uid="{60D703B0-E102-4F79-B152-B015A50306C4}"/>
    <cellStyle name="Accent1 2 34" xfId="821" xr:uid="{CD31D507-5B1F-4574-9183-3D1EA52B3C9C}"/>
    <cellStyle name="Accent1 2 35" xfId="822" xr:uid="{13388BAD-7CB6-479C-8435-CFAF344B6421}"/>
    <cellStyle name="Accent1 2 36" xfId="823" xr:uid="{F615721A-E903-4614-85CE-E6F5C07E13FB}"/>
    <cellStyle name="Accent1 2 37" xfId="824" xr:uid="{7FAD5321-C2DA-4364-B793-8E20207075A4}"/>
    <cellStyle name="Accent1 2 38" xfId="825" xr:uid="{70BF2478-D2B2-4AE9-BB4B-6C1B8E437520}"/>
    <cellStyle name="Accent1 2 39" xfId="826" xr:uid="{D1035B58-7CA6-4991-BAEF-FBA585182665}"/>
    <cellStyle name="Accent1 2 4" xfId="827" xr:uid="{20AD094E-E22F-4219-92D2-6F70C1FFA2DD}"/>
    <cellStyle name="Accent1 2 40" xfId="828" xr:uid="{92F6DC61-9D2F-40F8-9EC2-C842989F9B4F}"/>
    <cellStyle name="Accent1 2 41" xfId="829" xr:uid="{4828E6B6-F9B8-4B32-9459-0CA1EBCB420B}"/>
    <cellStyle name="Accent1 2 42" xfId="830" xr:uid="{31156B62-8DA3-4C24-8EF4-B59BE7972D36}"/>
    <cellStyle name="Accent1 2 43" xfId="831" xr:uid="{BF120F16-F8A6-4F37-B083-C7D26719AE44}"/>
    <cellStyle name="Accent1 2 44" xfId="832" xr:uid="{6F9FC83F-5B35-4CEF-BF38-048985BB63B7}"/>
    <cellStyle name="Accent1 2 45" xfId="833" xr:uid="{7D4ABC2C-9B7E-4D11-8306-E3E71D661FCE}"/>
    <cellStyle name="Accent1 2 46" xfId="834" xr:uid="{B4070733-E165-47EE-8E30-9E41C6396218}"/>
    <cellStyle name="Accent1 2 47" xfId="835" xr:uid="{0A1A11AD-7053-4EBF-876A-EBC9A56CBF43}"/>
    <cellStyle name="Accent1 2 48" xfId="836" xr:uid="{29504C25-562B-4E01-95ED-9461C84E837B}"/>
    <cellStyle name="Accent1 2 49" xfId="837" xr:uid="{4B29C9BE-BE92-4E99-A622-C08C6B971D2C}"/>
    <cellStyle name="Accent1 2 5" xfId="838" xr:uid="{B6C03305-7182-45A7-8599-99814DE6A088}"/>
    <cellStyle name="Accent1 2 6" xfId="839" xr:uid="{61D99150-B92C-44DC-8399-EDD2E31BB6AD}"/>
    <cellStyle name="Accent1 2 7" xfId="840" xr:uid="{E3141F0E-B84D-4394-977E-522AE38E087F}"/>
    <cellStyle name="Accent1 2 8" xfId="841" xr:uid="{D5FB01F1-C2B8-42DE-84B8-8594751B5A4C}"/>
    <cellStyle name="Accent1 2 9" xfId="842" xr:uid="{3702301B-DF9C-4B6C-A5D1-A7EA78C9FFFA}"/>
    <cellStyle name="Accent2 2" xfId="843" xr:uid="{7218AC44-7A9A-41D4-9DCE-488849D80268}"/>
    <cellStyle name="Accent2 2 10" xfId="844" xr:uid="{7134CD55-96F5-489D-8CAC-07973158B443}"/>
    <cellStyle name="Accent2 2 11" xfId="845" xr:uid="{494F39C7-FDE5-4574-851B-205881A81716}"/>
    <cellStyle name="Accent2 2 12" xfId="846" xr:uid="{4A8746E1-ACAD-46CC-A094-ABBAA2474A30}"/>
    <cellStyle name="Accent2 2 13" xfId="847" xr:uid="{17B1B0C5-1EB3-4BE4-8636-B6680AFACA1F}"/>
    <cellStyle name="Accent2 2 14" xfId="848" xr:uid="{C9B422FD-62BA-4109-9909-012FD65565E5}"/>
    <cellStyle name="Accent2 2 15" xfId="849" xr:uid="{CCC9C276-841B-43CA-AA83-2CA79DB103AA}"/>
    <cellStyle name="Accent2 2 16" xfId="850" xr:uid="{8BB026FE-C947-43A7-AE69-E20E6FA0E364}"/>
    <cellStyle name="Accent2 2 17" xfId="851" xr:uid="{877EC56C-94AB-447D-9EEA-B768001FABB7}"/>
    <cellStyle name="Accent2 2 18" xfId="852" xr:uid="{4B4E09F1-0D24-4E0F-BCFA-1F4E8A2C8416}"/>
    <cellStyle name="Accent2 2 19" xfId="853" xr:uid="{7904C089-45C2-477F-A2F8-5E9D02117D1B}"/>
    <cellStyle name="Accent2 2 2" xfId="854" xr:uid="{05DC149C-989B-42C7-BFBB-6DC0614B8888}"/>
    <cellStyle name="Accent2 2 20" xfId="855" xr:uid="{9F9C893F-B0F9-451F-949A-6B2AD087CD7C}"/>
    <cellStyle name="Accent2 2 21" xfId="856" xr:uid="{BC3F828B-8F6C-4D57-B023-69223679ED42}"/>
    <cellStyle name="Accent2 2 22" xfId="857" xr:uid="{0C181615-05D5-4FDD-B6D2-464E50C66039}"/>
    <cellStyle name="Accent2 2 23" xfId="858" xr:uid="{35D3CE0F-5445-4143-B4CB-7234B8605A22}"/>
    <cellStyle name="Accent2 2 24" xfId="859" xr:uid="{F0F2F8BF-02B3-4E7E-856B-6C741A36FD7C}"/>
    <cellStyle name="Accent2 2 25" xfId="860" xr:uid="{F64DA2D8-B356-4C30-B2DE-435C7513839D}"/>
    <cellStyle name="Accent2 2 26" xfId="861" xr:uid="{E7ACC4B1-5CF7-4888-889A-A4EA7C48ECB4}"/>
    <cellStyle name="Accent2 2 27" xfId="862" xr:uid="{E3629AB2-EB13-4715-971E-4F12F109D3EC}"/>
    <cellStyle name="Accent2 2 28" xfId="863" xr:uid="{CFBEEEBC-49E0-486B-AB0A-FD22365527C1}"/>
    <cellStyle name="Accent2 2 29" xfId="864" xr:uid="{D21AC5D2-7F32-4EBA-9B0E-8670A5AB4910}"/>
    <cellStyle name="Accent2 2 3" xfId="865" xr:uid="{CA12FB44-A3A2-4350-A83A-F06D47102461}"/>
    <cellStyle name="Accent2 2 30" xfId="866" xr:uid="{82AC1AD8-8840-4DA1-9CAD-35CC6B874A3F}"/>
    <cellStyle name="Accent2 2 31" xfId="867" xr:uid="{04FCFC4F-0181-4F00-9C9A-1D5E296421FB}"/>
    <cellStyle name="Accent2 2 32" xfId="868" xr:uid="{9855D3AF-9787-4DF0-A2A2-82D5E4B56E2E}"/>
    <cellStyle name="Accent2 2 33" xfId="869" xr:uid="{EA2C0389-E0ED-4F0C-AED6-0073485BFD65}"/>
    <cellStyle name="Accent2 2 34" xfId="870" xr:uid="{C02BD5C2-4E2D-4595-86A0-06711FE2D46B}"/>
    <cellStyle name="Accent2 2 35" xfId="871" xr:uid="{AF580861-8CB2-4AB2-8C04-8BCB585D0A93}"/>
    <cellStyle name="Accent2 2 36" xfId="872" xr:uid="{DF215C65-50D6-43CF-BACD-1FD038760A47}"/>
    <cellStyle name="Accent2 2 37" xfId="873" xr:uid="{41AD57E9-D944-45C5-808E-96A422F80799}"/>
    <cellStyle name="Accent2 2 38" xfId="874" xr:uid="{41E7A045-E755-487B-B1E5-C284AD3E71F2}"/>
    <cellStyle name="Accent2 2 39" xfId="875" xr:uid="{8F8C276E-767D-4205-B72F-FF5F4F3712F2}"/>
    <cellStyle name="Accent2 2 4" xfId="876" xr:uid="{49793427-58C8-482D-8DB2-EE6E2AEBD724}"/>
    <cellStyle name="Accent2 2 40" xfId="877" xr:uid="{0EF2EE44-2C80-495F-98CE-A005647E1500}"/>
    <cellStyle name="Accent2 2 41" xfId="878" xr:uid="{8D69DB33-02C2-42A2-8ED2-D015C446FEF4}"/>
    <cellStyle name="Accent2 2 42" xfId="879" xr:uid="{41BEA988-4747-40CB-B7F6-AAA2A8D2FD81}"/>
    <cellStyle name="Accent2 2 43" xfId="880" xr:uid="{C2F374C4-AC55-4F1F-AE68-7C86C22B1680}"/>
    <cellStyle name="Accent2 2 44" xfId="881" xr:uid="{88280BFC-02D9-4840-82A2-59A6F34BFF99}"/>
    <cellStyle name="Accent2 2 45" xfId="882" xr:uid="{0EC8A6E3-15C2-402B-B910-098F75702E81}"/>
    <cellStyle name="Accent2 2 46" xfId="883" xr:uid="{31DEBC9F-602D-46E7-98CE-88B1D33B0C60}"/>
    <cellStyle name="Accent2 2 47" xfId="884" xr:uid="{E062903B-C524-4624-8480-1F9EA79E6760}"/>
    <cellStyle name="Accent2 2 48" xfId="885" xr:uid="{97CC889C-AA4A-4972-AB84-7DAC844A1599}"/>
    <cellStyle name="Accent2 2 49" xfId="886" xr:uid="{DAA32A77-FE6E-4DEA-8807-AADFC78E96C6}"/>
    <cellStyle name="Accent2 2 5" xfId="887" xr:uid="{58171BEB-FEFD-4BD0-A8B6-D2EF640C3291}"/>
    <cellStyle name="Accent2 2 6" xfId="888" xr:uid="{CEB29D9E-08FB-4CED-9D62-4E71D60BB6DD}"/>
    <cellStyle name="Accent2 2 7" xfId="889" xr:uid="{1F84406B-5803-43B4-811B-308F6F06BB32}"/>
    <cellStyle name="Accent2 2 8" xfId="890" xr:uid="{8147B52D-C0C5-40C2-B6E6-0970ED1A4EF6}"/>
    <cellStyle name="Accent2 2 9" xfId="891" xr:uid="{04E4444D-C454-4E49-ABE9-5C82094ACB32}"/>
    <cellStyle name="Accent3 2" xfId="892" xr:uid="{29D98C0B-D9D0-4716-A8D3-2FF2FD8B8BF4}"/>
    <cellStyle name="Accent3 2 10" xfId="893" xr:uid="{DE553C34-5AEC-4642-93CD-94A15BBD7CDB}"/>
    <cellStyle name="Accent3 2 11" xfId="894" xr:uid="{1545DCBF-9530-4568-A04A-3AF2BB890D62}"/>
    <cellStyle name="Accent3 2 12" xfId="895" xr:uid="{7F0FB887-CC91-4FE1-A470-15388412FD7F}"/>
    <cellStyle name="Accent3 2 13" xfId="896" xr:uid="{BF52F56B-66ED-4248-A50C-7F8BEE00326B}"/>
    <cellStyle name="Accent3 2 14" xfId="897" xr:uid="{9D945A2C-B9D5-41C6-9154-C333D3BA7537}"/>
    <cellStyle name="Accent3 2 15" xfId="898" xr:uid="{5699DA23-C934-4CD5-A3E9-20E4CF340EA7}"/>
    <cellStyle name="Accent3 2 16" xfId="899" xr:uid="{66C5B4B9-D742-4BA4-A9B2-9EFCAC1F7171}"/>
    <cellStyle name="Accent3 2 17" xfId="900" xr:uid="{9D8879E7-151D-456F-B747-7EC02D20F47D}"/>
    <cellStyle name="Accent3 2 18" xfId="901" xr:uid="{37AC88E1-154C-42AC-9BCB-A5CD37DD7E0B}"/>
    <cellStyle name="Accent3 2 19" xfId="902" xr:uid="{0580D0FA-7529-48D6-A347-99AB38A21B24}"/>
    <cellStyle name="Accent3 2 2" xfId="903" xr:uid="{D17D2A8B-7DCB-4B24-A571-C21323BAED22}"/>
    <cellStyle name="Accent3 2 20" xfId="904" xr:uid="{3770B767-6D1F-4AE7-B04A-8F6223DBF189}"/>
    <cellStyle name="Accent3 2 21" xfId="905" xr:uid="{6A33F9E3-4BF3-4679-B4AF-B99226B4ED22}"/>
    <cellStyle name="Accent3 2 22" xfId="906" xr:uid="{7C6A3EEF-8314-4B85-800C-4942FE9B2A04}"/>
    <cellStyle name="Accent3 2 23" xfId="907" xr:uid="{2FF5CF50-E3D5-4992-8D66-1975E9EA2C69}"/>
    <cellStyle name="Accent3 2 24" xfId="908" xr:uid="{239CD4EB-BED6-44AF-9170-94CCFA212638}"/>
    <cellStyle name="Accent3 2 25" xfId="909" xr:uid="{DE6BF0DC-D9F2-40C4-A707-E30D9F28972F}"/>
    <cellStyle name="Accent3 2 26" xfId="910" xr:uid="{1ECA7D05-26FE-4E82-9573-19F29F46CAEE}"/>
    <cellStyle name="Accent3 2 27" xfId="911" xr:uid="{2742743A-8CDA-4774-A807-21D006C78B79}"/>
    <cellStyle name="Accent3 2 28" xfId="912" xr:uid="{8853B423-BB1A-49EB-B49D-71976D1311EE}"/>
    <cellStyle name="Accent3 2 29" xfId="913" xr:uid="{20EA59DF-2551-4588-A4AB-72BD740A64B7}"/>
    <cellStyle name="Accent3 2 3" xfId="914" xr:uid="{3C92EE75-2B69-45A9-ABF3-0BB194D25E71}"/>
    <cellStyle name="Accent3 2 30" xfId="915" xr:uid="{B589C0D8-C4E0-4D08-93FC-B25689FAB345}"/>
    <cellStyle name="Accent3 2 31" xfId="916" xr:uid="{6E5E57A8-A19B-4CE3-B8D5-E608BE792902}"/>
    <cellStyle name="Accent3 2 32" xfId="917" xr:uid="{33AA58EC-6D2E-4287-937C-6FCB480D61CF}"/>
    <cellStyle name="Accent3 2 33" xfId="918" xr:uid="{F0452803-ED4E-41AF-ADF0-29C84183B057}"/>
    <cellStyle name="Accent3 2 34" xfId="919" xr:uid="{2ED8E78F-A9E1-40BE-B56D-F361DBC9D372}"/>
    <cellStyle name="Accent3 2 35" xfId="920" xr:uid="{A9BF53E2-29A9-4FD6-A4D4-EF701268F45E}"/>
    <cellStyle name="Accent3 2 36" xfId="921" xr:uid="{663C2EB3-4287-4FFB-B769-3654922E7C0F}"/>
    <cellStyle name="Accent3 2 37" xfId="922" xr:uid="{CE58EED0-FECB-426B-BF1C-135D797AB195}"/>
    <cellStyle name="Accent3 2 38" xfId="923" xr:uid="{1AF96AE3-D927-4465-97F7-1216FE8DE877}"/>
    <cellStyle name="Accent3 2 39" xfId="924" xr:uid="{9FCA6492-B427-4B48-A4CA-2FA82A6328FB}"/>
    <cellStyle name="Accent3 2 4" xfId="925" xr:uid="{7E7715A6-E916-4B77-AFB9-93E9A8D72E17}"/>
    <cellStyle name="Accent3 2 40" xfId="926" xr:uid="{36E39248-E5A7-4EAB-90D7-A5C0523FDE78}"/>
    <cellStyle name="Accent3 2 41" xfId="927" xr:uid="{C34B83A3-C9A8-438A-860E-EEB6FF868453}"/>
    <cellStyle name="Accent3 2 42" xfId="928" xr:uid="{3FD21DA6-7363-4111-A4F1-FC03A8D918FE}"/>
    <cellStyle name="Accent3 2 43" xfId="929" xr:uid="{1252C8A7-40E8-4CDA-A53A-4D8638D7AEB1}"/>
    <cellStyle name="Accent3 2 44" xfId="930" xr:uid="{74619917-EC6B-416C-B63F-BE3CE93B202A}"/>
    <cellStyle name="Accent3 2 45" xfId="931" xr:uid="{564942DC-191E-424A-92DB-EF254D4281EA}"/>
    <cellStyle name="Accent3 2 46" xfId="932" xr:uid="{BAFC0A07-9C2C-4B77-9016-3130ACB45755}"/>
    <cellStyle name="Accent3 2 47" xfId="933" xr:uid="{7688D663-39C7-4702-AB3A-1217EC9EE485}"/>
    <cellStyle name="Accent3 2 48" xfId="934" xr:uid="{AEF77AEE-3F1E-4294-B66B-4DBF3E839C02}"/>
    <cellStyle name="Accent3 2 49" xfId="935" xr:uid="{C6A338E8-352E-4626-83A6-1F1D812425E7}"/>
    <cellStyle name="Accent3 2 5" xfId="936" xr:uid="{D910A173-ED3E-4488-829D-4B094DD6917B}"/>
    <cellStyle name="Accent3 2 6" xfId="937" xr:uid="{DA3BF425-7650-4F70-B980-CEB2CE0BA950}"/>
    <cellStyle name="Accent3 2 7" xfId="938" xr:uid="{10E9A214-DCD4-4D72-82DF-893AB8841765}"/>
    <cellStyle name="Accent3 2 8" xfId="939" xr:uid="{8E6B5A65-0F13-4CB6-BC89-2F312B6CB2E2}"/>
    <cellStyle name="Accent3 2 9" xfId="940" xr:uid="{4D195297-6EEA-4D8D-92A1-5BF123FBCA32}"/>
    <cellStyle name="Accent4 2" xfId="941" xr:uid="{F41E835E-59DF-4627-94DD-3680C56EC6F9}"/>
    <cellStyle name="Accent4 2 10" xfId="942" xr:uid="{5D144D97-D8D5-4197-9320-38B0162FB0E4}"/>
    <cellStyle name="Accent4 2 11" xfId="943" xr:uid="{DDC7F88F-1A82-4344-A379-C39FBBED411C}"/>
    <cellStyle name="Accent4 2 12" xfId="944" xr:uid="{DF039415-E758-4606-B905-6A7EB98A2ABE}"/>
    <cellStyle name="Accent4 2 13" xfId="945" xr:uid="{7D95F57F-E6EC-4715-AE4D-E54E2DFAA9C6}"/>
    <cellStyle name="Accent4 2 14" xfId="946" xr:uid="{3F2E31D2-49D4-4AB8-9257-6B833DCF29DE}"/>
    <cellStyle name="Accent4 2 15" xfId="947" xr:uid="{40FBA8EA-2DC4-4CCC-89F7-58170F4FCFD2}"/>
    <cellStyle name="Accent4 2 16" xfId="948" xr:uid="{D04E76E9-4176-4ADF-AB37-A71460EEEE4C}"/>
    <cellStyle name="Accent4 2 17" xfId="949" xr:uid="{ADC33E68-8E2D-4459-B53D-C9D06D1837D0}"/>
    <cellStyle name="Accent4 2 18" xfId="950" xr:uid="{995E50A9-6046-4862-A4B8-FB200994C964}"/>
    <cellStyle name="Accent4 2 19" xfId="951" xr:uid="{B5E25E5E-3F6B-4421-BC9F-61D3CFA65455}"/>
    <cellStyle name="Accent4 2 2" xfId="952" xr:uid="{A6A08EE2-68EF-4655-998F-1BD1C6608599}"/>
    <cellStyle name="Accent4 2 20" xfId="953" xr:uid="{A3F2DA14-81C6-4733-A204-430A09A77F0B}"/>
    <cellStyle name="Accent4 2 21" xfId="954" xr:uid="{AEC82BCE-8A2D-4626-B8E4-6D80A280A235}"/>
    <cellStyle name="Accent4 2 22" xfId="955" xr:uid="{E9965F8A-9D64-4122-A223-E44890766503}"/>
    <cellStyle name="Accent4 2 23" xfId="956" xr:uid="{9442B0D3-1A03-4DA9-9811-958043CD5C96}"/>
    <cellStyle name="Accent4 2 24" xfId="957" xr:uid="{BCE634BC-E278-4199-A2CD-5966B702D1B2}"/>
    <cellStyle name="Accent4 2 25" xfId="958" xr:uid="{CB443DBD-D449-425D-AEC6-30006CAC36E5}"/>
    <cellStyle name="Accent4 2 26" xfId="959" xr:uid="{DB12B4A3-8E2E-404D-AD5D-2D4C921605E2}"/>
    <cellStyle name="Accent4 2 27" xfId="960" xr:uid="{FA7198F3-E182-464F-B258-CBC59212F3AC}"/>
    <cellStyle name="Accent4 2 28" xfId="961" xr:uid="{ADA3E81A-FD39-4089-B54A-BE1840881A56}"/>
    <cellStyle name="Accent4 2 29" xfId="962" xr:uid="{9EF976D7-8946-4105-9360-5D0CC29AB3E0}"/>
    <cellStyle name="Accent4 2 3" xfId="963" xr:uid="{718C711F-30F1-4109-A296-F21315BA60AA}"/>
    <cellStyle name="Accent4 2 30" xfId="964" xr:uid="{77295CA9-140D-454A-BA47-19A9D74913DD}"/>
    <cellStyle name="Accent4 2 31" xfId="965" xr:uid="{68D93C9D-A9F0-4F71-8BAE-593173987973}"/>
    <cellStyle name="Accent4 2 32" xfId="966" xr:uid="{00B34BFA-94B2-456D-966B-B29966795F20}"/>
    <cellStyle name="Accent4 2 33" xfId="967" xr:uid="{BA43008E-7C90-4E04-B429-64B685696021}"/>
    <cellStyle name="Accent4 2 34" xfId="968" xr:uid="{1AA034FE-497A-4B1B-85A6-A08D70934BE0}"/>
    <cellStyle name="Accent4 2 35" xfId="969" xr:uid="{5DBBA420-1B8C-4358-920C-DF721154C4E6}"/>
    <cellStyle name="Accent4 2 36" xfId="970" xr:uid="{7E1CF71B-596A-4DCC-AD78-9F777C6AE11C}"/>
    <cellStyle name="Accent4 2 37" xfId="971" xr:uid="{60334325-2F3D-4C23-89FA-DB891965A6FB}"/>
    <cellStyle name="Accent4 2 38" xfId="972" xr:uid="{A21B48D5-FDBC-43FC-810E-FCB8015B5800}"/>
    <cellStyle name="Accent4 2 39" xfId="973" xr:uid="{7FCDDABE-AD25-4B67-86FD-9204652A0E6E}"/>
    <cellStyle name="Accent4 2 4" xfId="974" xr:uid="{AD03057B-5723-4B2D-AB1E-8604B4FB6273}"/>
    <cellStyle name="Accent4 2 40" xfId="975" xr:uid="{1F93CFFC-C822-4231-BF25-DF04473FAA0C}"/>
    <cellStyle name="Accent4 2 41" xfId="976" xr:uid="{B2A84A06-85C3-4F6D-9DA5-5C0710BA2E81}"/>
    <cellStyle name="Accent4 2 42" xfId="977" xr:uid="{BB2C2373-EA8E-421D-A942-83661FFCBC80}"/>
    <cellStyle name="Accent4 2 43" xfId="978" xr:uid="{A6F17BB6-DBD4-48D5-9B07-03A4D2D8865B}"/>
    <cellStyle name="Accent4 2 44" xfId="979" xr:uid="{F5AC6DCF-C5DC-4B7C-8BF0-615ADB457EE0}"/>
    <cellStyle name="Accent4 2 45" xfId="980" xr:uid="{A831F5A5-FA2F-4103-8765-483B4C84E5FD}"/>
    <cellStyle name="Accent4 2 46" xfId="981" xr:uid="{0F73F6D4-CCD8-4236-8D19-1F46DC350412}"/>
    <cellStyle name="Accent4 2 47" xfId="982" xr:uid="{6BFF8425-61D8-40FD-B93B-CC5750215A7C}"/>
    <cellStyle name="Accent4 2 48" xfId="983" xr:uid="{5D3BDD1B-6152-469E-BB14-9EDA662F98A7}"/>
    <cellStyle name="Accent4 2 49" xfId="984" xr:uid="{D773EB0C-52C4-4489-8FCF-3622B1234F85}"/>
    <cellStyle name="Accent4 2 5" xfId="985" xr:uid="{42247F6C-0ABC-411D-800D-64F805310660}"/>
    <cellStyle name="Accent4 2 6" xfId="986" xr:uid="{25CDF7E3-DCF9-49AD-A1BD-D41AC8E9B560}"/>
    <cellStyle name="Accent4 2 7" xfId="987" xr:uid="{B85180E9-94BE-45F3-929C-40B395793F49}"/>
    <cellStyle name="Accent4 2 8" xfId="988" xr:uid="{37889158-C753-4295-A8B2-E140F1E0E20A}"/>
    <cellStyle name="Accent4 2 9" xfId="989" xr:uid="{81478937-004F-4518-AC5E-3871702875F8}"/>
    <cellStyle name="Accent5" xfId="7" builtinId="45" customBuiltin="1"/>
    <cellStyle name="Accent6 2" xfId="990" xr:uid="{D6EA6EDD-9F96-4148-B16F-E5769500BFEF}"/>
    <cellStyle name="Accent6 2 10" xfId="991" xr:uid="{15B0B4C2-E31B-411E-BC7F-703440A7B7FE}"/>
    <cellStyle name="Accent6 2 11" xfId="992" xr:uid="{2B91F9B2-335C-428A-A931-EBC6A9787C57}"/>
    <cellStyle name="Accent6 2 12" xfId="993" xr:uid="{D0CE9AA5-C1DA-4E64-A9B7-1FE70BFE4D8C}"/>
    <cellStyle name="Accent6 2 13" xfId="994" xr:uid="{6867B889-76FB-47FA-A67A-960F395BB468}"/>
    <cellStyle name="Accent6 2 14" xfId="995" xr:uid="{3011DC25-AD87-4F03-A550-BF369F94AF66}"/>
    <cellStyle name="Accent6 2 15" xfId="996" xr:uid="{CD6234BB-838E-408D-96FF-EFB087E6EDD3}"/>
    <cellStyle name="Accent6 2 16" xfId="997" xr:uid="{6CAA47A5-7530-415D-BA41-A97C20087650}"/>
    <cellStyle name="Accent6 2 17" xfId="998" xr:uid="{96CBAE46-3D7A-42E0-96DE-42FDF116489F}"/>
    <cellStyle name="Accent6 2 18" xfId="999" xr:uid="{63713B31-C0BF-4716-9253-9ADBBB99F29A}"/>
    <cellStyle name="Accent6 2 19" xfId="1000" xr:uid="{F301AB5E-1881-4768-A762-D48DA1C3A123}"/>
    <cellStyle name="Accent6 2 2" xfId="1001" xr:uid="{6AC50443-A682-4CB5-A63F-ABEABACF9FAC}"/>
    <cellStyle name="Accent6 2 20" xfId="1002" xr:uid="{188C2961-EE45-4091-8823-1A0D25878A3D}"/>
    <cellStyle name="Accent6 2 21" xfId="1003" xr:uid="{5FFE9AD2-EB2C-41D0-A92D-B0C3856E8BB9}"/>
    <cellStyle name="Accent6 2 22" xfId="1004" xr:uid="{7BE0F801-1D96-45B8-9871-F737E2E46608}"/>
    <cellStyle name="Accent6 2 23" xfId="1005" xr:uid="{02AE86F1-9F83-47AC-BE2C-626FA0213210}"/>
    <cellStyle name="Accent6 2 24" xfId="1006" xr:uid="{7EBFE0E0-67B1-4845-BEEF-1293A02E6F5A}"/>
    <cellStyle name="Accent6 2 25" xfId="1007" xr:uid="{3E04D3C8-F0FC-4DD9-BAF1-6DF5BDAFFE4C}"/>
    <cellStyle name="Accent6 2 26" xfId="1008" xr:uid="{CFB97DE7-7F6E-415A-96D1-23EBA7B1ED17}"/>
    <cellStyle name="Accent6 2 27" xfId="1009" xr:uid="{A349A33D-07A3-4FCA-A47B-5DC5DC62C1D9}"/>
    <cellStyle name="Accent6 2 28" xfId="1010" xr:uid="{F3F95DD3-498B-4DFD-BCB3-A20B1FA09223}"/>
    <cellStyle name="Accent6 2 29" xfId="1011" xr:uid="{774DF379-4727-4570-ADC1-C357739CA5DA}"/>
    <cellStyle name="Accent6 2 3" xfId="1012" xr:uid="{5C92B79A-F171-4B8D-BC5D-189C1E8CD525}"/>
    <cellStyle name="Accent6 2 30" xfId="1013" xr:uid="{0074AE78-376D-4141-8258-E94D8DF044FD}"/>
    <cellStyle name="Accent6 2 31" xfId="1014" xr:uid="{6AA38070-B824-4038-B9A9-DD4BCB431C02}"/>
    <cellStyle name="Accent6 2 32" xfId="1015" xr:uid="{E0DA82BA-9244-4035-8C1B-F43931BF1C1D}"/>
    <cellStyle name="Accent6 2 33" xfId="1016" xr:uid="{13DBE17B-C6DE-41C1-89DA-A10E91DFC6A9}"/>
    <cellStyle name="Accent6 2 34" xfId="1017" xr:uid="{0B45176B-CE0A-41B2-B63D-0A1C41F30187}"/>
    <cellStyle name="Accent6 2 35" xfId="1018" xr:uid="{FB9E7136-3D53-4DA4-A945-FDEC3BD090D0}"/>
    <cellStyle name="Accent6 2 36" xfId="1019" xr:uid="{BA41AA11-F593-430B-929E-4DB7CABFE864}"/>
    <cellStyle name="Accent6 2 37" xfId="1020" xr:uid="{9351FD22-100A-4F8F-85E8-1BA3E49D225E}"/>
    <cellStyle name="Accent6 2 38" xfId="1021" xr:uid="{E87781E8-03A3-4891-BB82-9B952D58F749}"/>
    <cellStyle name="Accent6 2 39" xfId="1022" xr:uid="{FD5294DF-188C-4734-AA9F-1FC1DACB573B}"/>
    <cellStyle name="Accent6 2 4" xfId="1023" xr:uid="{4124F38F-E79C-4749-8BB8-916FC59A24E4}"/>
    <cellStyle name="Accent6 2 40" xfId="1024" xr:uid="{774A2695-0904-40B2-997D-B4CD5A134A49}"/>
    <cellStyle name="Accent6 2 41" xfId="1025" xr:uid="{40173AA1-494B-478D-BD10-A0F74D53FD2C}"/>
    <cellStyle name="Accent6 2 42" xfId="1026" xr:uid="{28EC10C6-0318-47B7-9736-DB6458300361}"/>
    <cellStyle name="Accent6 2 43" xfId="1027" xr:uid="{9D475FF0-CCE8-4A9E-9240-4C577A1CE104}"/>
    <cellStyle name="Accent6 2 44" xfId="1028" xr:uid="{68B56AFD-2DEB-4FB6-989F-9469B9DA90EE}"/>
    <cellStyle name="Accent6 2 45" xfId="1029" xr:uid="{52FE47F0-9C21-4AB4-A741-FC38AB82E73C}"/>
    <cellStyle name="Accent6 2 46" xfId="1030" xr:uid="{B3A2E68E-FACC-466B-A764-47459488B91A}"/>
    <cellStyle name="Accent6 2 47" xfId="1031" xr:uid="{00A8E371-E8C8-45F3-AE7B-4C4CC518A6C1}"/>
    <cellStyle name="Accent6 2 48" xfId="1032" xr:uid="{2B47F2CB-961D-453A-8595-49620A8D09C3}"/>
    <cellStyle name="Accent6 2 49" xfId="1033" xr:uid="{8615FFDD-9B85-4273-9FD4-93D455D25CDA}"/>
    <cellStyle name="Accent6 2 5" xfId="1034" xr:uid="{E7C2DDE4-2F39-420D-8C6A-60ACF328B24D}"/>
    <cellStyle name="Accent6 2 6" xfId="1035" xr:uid="{062DBF56-18AB-409A-811B-7979867C3FB2}"/>
    <cellStyle name="Accent6 2 7" xfId="1036" xr:uid="{57E4C236-A97B-42E3-BFA2-5496FA4B4A65}"/>
    <cellStyle name="Accent6 2 8" xfId="1037" xr:uid="{2AA0B284-D781-4EDF-9755-F4D365D4FFB4}"/>
    <cellStyle name="Accent6 2 9" xfId="1038" xr:uid="{7055F8B8-FC62-48E7-B5A5-3BEF957A21FE}"/>
    <cellStyle name="Bad 2" xfId="1039" xr:uid="{449240C0-5381-4FC9-AA84-F6FD26EE846B}"/>
    <cellStyle name="Bad 2 10" xfId="1040" xr:uid="{7E63E5C0-BF27-4264-BA1C-6FDEB7F2ED8C}"/>
    <cellStyle name="Bad 2 11" xfId="1041" xr:uid="{C8BD9687-00F3-43FB-A6FD-B18DA805AEA4}"/>
    <cellStyle name="Bad 2 12" xfId="1042" xr:uid="{2A558657-A0E4-44EF-9D32-AF02429D0076}"/>
    <cellStyle name="Bad 2 13" xfId="1043" xr:uid="{76812784-1FB6-49A1-9CCC-356173335D33}"/>
    <cellStyle name="Bad 2 14" xfId="1044" xr:uid="{B7A5B435-7957-4E46-BBFA-8D0DF64D7147}"/>
    <cellStyle name="Bad 2 15" xfId="1045" xr:uid="{3986DE1C-0603-4543-B7C0-7DAC6E0D0935}"/>
    <cellStyle name="Bad 2 16" xfId="1046" xr:uid="{0905430B-E67A-4412-8071-9C62917EA288}"/>
    <cellStyle name="Bad 2 17" xfId="1047" xr:uid="{3857C3D2-41B2-427C-8EA0-5CE46889D342}"/>
    <cellStyle name="Bad 2 18" xfId="1048" xr:uid="{4E2E5F9E-471C-4E9C-B093-46BE1F034E45}"/>
    <cellStyle name="Bad 2 19" xfId="1049" xr:uid="{A4681ED4-C6A0-4A9B-9864-51843FEEFA37}"/>
    <cellStyle name="Bad 2 2" xfId="1050" xr:uid="{DB1C0B25-6D38-423F-B41C-8C0DA8904F13}"/>
    <cellStyle name="Bad 2 20" xfId="1051" xr:uid="{85E3E48E-6B1F-49C8-A338-E301C53F26EC}"/>
    <cellStyle name="Bad 2 21" xfId="1052" xr:uid="{A0FD660F-E96B-422C-BC77-6E6D8DAC5F8A}"/>
    <cellStyle name="Bad 2 22" xfId="1053" xr:uid="{39293F41-18D3-462A-962F-8800C52C1CDC}"/>
    <cellStyle name="Bad 2 23" xfId="1054" xr:uid="{2D09DE44-BFFD-495C-AD96-0EFC478E8F22}"/>
    <cellStyle name="Bad 2 24" xfId="1055" xr:uid="{91D7FDCF-ABD3-4406-B379-6034521DB967}"/>
    <cellStyle name="Bad 2 25" xfId="1056" xr:uid="{049726B9-8EAD-4B51-BD81-0A5213576302}"/>
    <cellStyle name="Bad 2 26" xfId="1057" xr:uid="{EDDAD41F-B22E-45F0-8330-71442D28BA0D}"/>
    <cellStyle name="Bad 2 27" xfId="1058" xr:uid="{7B8FF10C-A76E-43AD-A27C-F641CA6C8F7B}"/>
    <cellStyle name="Bad 2 28" xfId="1059" xr:uid="{D83F2484-8F9F-4E24-B571-9473CDCFDF3A}"/>
    <cellStyle name="Bad 2 29" xfId="1060" xr:uid="{21D22737-C0E3-4A1D-B1DE-F0AEA9140FD4}"/>
    <cellStyle name="Bad 2 3" xfId="1061" xr:uid="{CB920AC7-C71B-475C-8470-BBE98C0F429F}"/>
    <cellStyle name="Bad 2 30" xfId="1062" xr:uid="{8442CFD8-325F-48DE-A508-4CD0B3F0EF26}"/>
    <cellStyle name="Bad 2 31" xfId="1063" xr:uid="{E2E0EB15-4665-4F6E-A0C0-ADE07FC6FC57}"/>
    <cellStyle name="Bad 2 32" xfId="1064" xr:uid="{25DFB170-03A3-41B4-8A60-EEED8B2A9088}"/>
    <cellStyle name="Bad 2 33" xfId="1065" xr:uid="{C7B1D104-1466-4579-8993-51FB9E499C41}"/>
    <cellStyle name="Bad 2 34" xfId="1066" xr:uid="{6E3F99B4-6378-4248-95F8-4E02841C15E7}"/>
    <cellStyle name="Bad 2 35" xfId="1067" xr:uid="{70B2434C-23B4-46ED-9484-BA8C273BB446}"/>
    <cellStyle name="Bad 2 36" xfId="1068" xr:uid="{43BC2C29-FFDF-49A0-ADE2-D69DBDBDE8FB}"/>
    <cellStyle name="Bad 2 37" xfId="1069" xr:uid="{1C8B7998-CD9F-4540-B30A-AE798E2F8A85}"/>
    <cellStyle name="Bad 2 38" xfId="1070" xr:uid="{E3D9ABFF-482B-43D1-A39E-E3E26ADF9707}"/>
    <cellStyle name="Bad 2 39" xfId="1071" xr:uid="{D15E34DF-7B2B-4501-B1ED-BE3E2EAB7BAA}"/>
    <cellStyle name="Bad 2 4" xfId="1072" xr:uid="{A45C39B6-D036-4D8A-A869-D9EDF7BF8144}"/>
    <cellStyle name="Bad 2 40" xfId="1073" xr:uid="{28B77EA3-75BE-43F5-A997-FE2831E7E629}"/>
    <cellStyle name="Bad 2 41" xfId="1074" xr:uid="{3DF68C83-4BEE-4A05-A571-BFEE46087598}"/>
    <cellStyle name="Bad 2 42" xfId="1075" xr:uid="{6B0845D6-D7B7-4E66-9CEA-56EFBBE3FA38}"/>
    <cellStyle name="Bad 2 43" xfId="1076" xr:uid="{972A75B8-C00B-47AA-9AFA-73C5D3C68A74}"/>
    <cellStyle name="Bad 2 44" xfId="1077" xr:uid="{6C6B7B25-A9A9-4CCD-A2B5-0B58CF14D740}"/>
    <cellStyle name="Bad 2 45" xfId="1078" xr:uid="{6BBCF597-0543-494E-899C-DBB5B22C24DD}"/>
    <cellStyle name="Bad 2 46" xfId="1079" xr:uid="{0203C345-0D1B-4046-930A-35126541C355}"/>
    <cellStyle name="Bad 2 47" xfId="1080" xr:uid="{82CF730E-412E-44FA-83D3-3B1F74845E9D}"/>
    <cellStyle name="Bad 2 48" xfId="1081" xr:uid="{1603C076-6328-4922-822A-CD43D0D13C7A}"/>
    <cellStyle name="Bad 2 49" xfId="1082" xr:uid="{F392B3C6-34E1-4D43-BD82-E257F95E33C9}"/>
    <cellStyle name="Bad 2 5" xfId="1083" xr:uid="{0DCC5F79-B229-4D27-976B-0810ACE1647C}"/>
    <cellStyle name="Bad 2 6" xfId="1084" xr:uid="{658FB4E8-F342-415C-8838-994B833E9307}"/>
    <cellStyle name="Bad 2 7" xfId="1085" xr:uid="{54D74519-547A-44CA-B02C-13B2FF1557CA}"/>
    <cellStyle name="Bad 2 8" xfId="1086" xr:uid="{AE6F0440-BAD7-4BDF-ADD1-800AE43383A1}"/>
    <cellStyle name="Bad 2 9" xfId="1087" xr:uid="{C9D0959B-2272-42F0-B2FB-D6CC958E5109}"/>
    <cellStyle name="Calculation 2" xfId="1088" xr:uid="{4298199B-689F-431F-8BFF-A61DF655069B}"/>
    <cellStyle name="Calculation 2 10" xfId="1089" xr:uid="{48FECFC3-A88D-41D5-A373-B7C9B78E99E5}"/>
    <cellStyle name="Calculation 2 11" xfId="1090" xr:uid="{F2F7F70A-6D58-4E38-A526-D7D0CBD820D1}"/>
    <cellStyle name="Calculation 2 12" xfId="1091" xr:uid="{AB8592C7-AAD9-4EE5-8A87-7F70FEED9233}"/>
    <cellStyle name="Calculation 2 13" xfId="1092" xr:uid="{FEA12D7A-B4FC-467D-9AA7-842DAD59DAC9}"/>
    <cellStyle name="Calculation 2 14" xfId="1093" xr:uid="{679566B4-439D-481C-9DB0-763226FBC1F9}"/>
    <cellStyle name="Calculation 2 15" xfId="1094" xr:uid="{A6FC5EBC-B4E3-40A9-92FD-2AAD8C61B359}"/>
    <cellStyle name="Calculation 2 16" xfId="1095" xr:uid="{7224C996-525F-497F-B81C-4586EBBC6CF1}"/>
    <cellStyle name="Calculation 2 17" xfId="1096" xr:uid="{F50DBE0D-6C8B-4D8A-89AC-9D463AC0A42A}"/>
    <cellStyle name="Calculation 2 18" xfId="1097" xr:uid="{704CA44A-B329-40C5-B7EF-0DC97F55E1E7}"/>
    <cellStyle name="Calculation 2 19" xfId="1098" xr:uid="{0059A5D5-B3C1-4941-B8EE-FF1B4395E94D}"/>
    <cellStyle name="Calculation 2 2" xfId="1099" xr:uid="{6D598F84-8490-45FC-8841-CF841996DDF4}"/>
    <cellStyle name="Calculation 2 20" xfId="1100" xr:uid="{65431295-8DEF-4184-8931-5FF8E4111CDE}"/>
    <cellStyle name="Calculation 2 21" xfId="1101" xr:uid="{6AF3BCE2-CCC9-41B4-B353-6B705277FF8E}"/>
    <cellStyle name="Calculation 2 22" xfId="1102" xr:uid="{0FA06DA3-BC7A-49F3-BA8A-88467016B72E}"/>
    <cellStyle name="Calculation 2 23" xfId="1103" xr:uid="{A9D761CF-B10D-41DB-BC4A-20F205FE20C6}"/>
    <cellStyle name="Calculation 2 24" xfId="1104" xr:uid="{3600588B-A72F-41B3-AE65-D4B8F08AFFC5}"/>
    <cellStyle name="Calculation 2 25" xfId="1105" xr:uid="{68541ADA-4015-433C-A139-3D59451C7744}"/>
    <cellStyle name="Calculation 2 26" xfId="1106" xr:uid="{2132EF91-E0C6-4216-AC55-D94B32CAFE3B}"/>
    <cellStyle name="Calculation 2 27" xfId="1107" xr:uid="{9A677F0E-D07F-4732-AFF2-EA3FA8E0FB10}"/>
    <cellStyle name="Calculation 2 28" xfId="1108" xr:uid="{3BF1BB94-97BC-475F-829B-BA0858C7CEDD}"/>
    <cellStyle name="Calculation 2 29" xfId="1109" xr:uid="{6F18FD72-4A93-48FA-8892-2E60D6522E60}"/>
    <cellStyle name="Calculation 2 3" xfId="1110" xr:uid="{CDFFEFD4-6AF2-4F63-8D88-BAEC6FF0F59A}"/>
    <cellStyle name="Calculation 2 30" xfId="1111" xr:uid="{479C5F2C-66A8-4FC3-AEC4-8DD6D1001698}"/>
    <cellStyle name="Calculation 2 31" xfId="1112" xr:uid="{BF4AC312-46B4-4BEC-974D-8335F0F71EA6}"/>
    <cellStyle name="Calculation 2 32" xfId="1113" xr:uid="{56CFE585-D11B-499C-A203-C1D4866BCC8E}"/>
    <cellStyle name="Calculation 2 33" xfId="1114" xr:uid="{A13DBFC5-73EF-4357-AD67-80F9E483FB7B}"/>
    <cellStyle name="Calculation 2 34" xfId="1115" xr:uid="{608BD235-C103-4AB9-BA21-E4D39901C5CF}"/>
    <cellStyle name="Calculation 2 35" xfId="1116" xr:uid="{2DB6E6CB-616A-4AA4-AFBF-C95FDBDA46FC}"/>
    <cellStyle name="Calculation 2 36" xfId="1117" xr:uid="{043AAD51-C266-4012-9F7C-D7C7493236B4}"/>
    <cellStyle name="Calculation 2 37" xfId="1118" xr:uid="{E63B9379-6131-4E1C-973D-3F50633A9741}"/>
    <cellStyle name="Calculation 2 38" xfId="1119" xr:uid="{18A90EA9-A54F-4AFE-8DDC-200DA7C45946}"/>
    <cellStyle name="Calculation 2 39" xfId="1120" xr:uid="{0212BC2E-7409-49AC-B453-48F5C12405B9}"/>
    <cellStyle name="Calculation 2 4" xfId="1121" xr:uid="{FD784B93-CBE3-411B-B124-E9E8713C7139}"/>
    <cellStyle name="Calculation 2 40" xfId="1122" xr:uid="{C6219BC6-941C-45A5-8BA0-754FC25100C8}"/>
    <cellStyle name="Calculation 2 41" xfId="1123" xr:uid="{3C7008B6-961B-459D-8205-80C647D21B8A}"/>
    <cellStyle name="Calculation 2 42" xfId="1124" xr:uid="{B0DEC041-347B-4303-A6C7-1CCEEA6AA4FD}"/>
    <cellStyle name="Calculation 2 43" xfId="1125" xr:uid="{E2A695EF-198E-4A60-AF8F-FAB5D8AE61EA}"/>
    <cellStyle name="Calculation 2 44" xfId="1126" xr:uid="{1CFF01CF-B2C3-4DF6-BCDB-50A18FFE833F}"/>
    <cellStyle name="Calculation 2 45" xfId="1127" xr:uid="{0F5CE718-6B83-48C1-BDF6-D804C50FEB58}"/>
    <cellStyle name="Calculation 2 46" xfId="1128" xr:uid="{F4CB4A74-630F-4206-B727-FA74ACE3F7E0}"/>
    <cellStyle name="Calculation 2 47" xfId="1129" xr:uid="{627FCD1A-D3A3-4691-87C3-09D6D02DFFD0}"/>
    <cellStyle name="Calculation 2 48" xfId="1130" xr:uid="{414826E3-A4F4-44DB-90B0-B97CD2F3B686}"/>
    <cellStyle name="Calculation 2 49" xfId="1131" xr:uid="{28B7DFB9-98B2-44C4-B979-480CA045967E}"/>
    <cellStyle name="Calculation 2 5" xfId="1132" xr:uid="{48B6CBAF-0763-4FFE-9B45-6A62E69B6116}"/>
    <cellStyle name="Calculation 2 6" xfId="1133" xr:uid="{6B1BC00B-FFC4-4B6A-9FA1-F3414BC87D41}"/>
    <cellStyle name="Calculation 2 7" xfId="1134" xr:uid="{44C48AF6-7C44-4ED5-84D7-A9C608FB8D9D}"/>
    <cellStyle name="Calculation 2 8" xfId="1135" xr:uid="{98F34988-CAC3-4744-A0D4-31EF0C6DC86D}"/>
    <cellStyle name="Calculation 2 9" xfId="1136" xr:uid="{7926CF54-7850-42B0-ACE8-D8270B221B21}"/>
    <cellStyle name="Check Cell" xfId="3" builtinId="23" customBuiltin="1"/>
    <cellStyle name="Explanatory Text" xfId="5" builtinId="53" customBuiltin="1"/>
    <cellStyle name="Good 2" xfId="1137" xr:uid="{CE859781-066F-4313-A6F8-B12AC9BAF160}"/>
    <cellStyle name="Good 2 10" xfId="1138" xr:uid="{EADA407D-3FE2-45BD-8D51-5398C52A1461}"/>
    <cellStyle name="Good 2 11" xfId="1139" xr:uid="{E10F7B55-B51D-4AF2-A056-5B1B15FF4918}"/>
    <cellStyle name="Good 2 12" xfId="1140" xr:uid="{C0AC051E-8AC3-4EAF-B7B4-0E99EF900CB6}"/>
    <cellStyle name="Good 2 13" xfId="1141" xr:uid="{B4BEB20B-4140-4292-942C-0A9C754E0994}"/>
    <cellStyle name="Good 2 14" xfId="1142" xr:uid="{7310833B-98CF-466B-982A-97E806BB7400}"/>
    <cellStyle name="Good 2 15" xfId="1143" xr:uid="{9F7350E4-9CAD-442C-9AD4-64C89F2EB207}"/>
    <cellStyle name="Good 2 16" xfId="1144" xr:uid="{EA5BAB04-3880-4FED-A8B8-B9E25C6B0B43}"/>
    <cellStyle name="Good 2 17" xfId="1145" xr:uid="{8750307E-9990-4D3C-B058-295F762B3EA6}"/>
    <cellStyle name="Good 2 18" xfId="1146" xr:uid="{F94CF938-2263-4DC8-BF0A-6F3E5206329C}"/>
    <cellStyle name="Good 2 19" xfId="1147" xr:uid="{915CC25F-0089-430A-BDF8-B6F15D41EA58}"/>
    <cellStyle name="Good 2 2" xfId="1148" xr:uid="{FE9DFA05-85D6-41AD-A1A7-F2A040490FF1}"/>
    <cellStyle name="Good 2 20" xfId="1149" xr:uid="{00F9FD66-48CD-43BB-900B-8264AC0A3819}"/>
    <cellStyle name="Good 2 21" xfId="1150" xr:uid="{56227422-0C9D-479E-8F49-3B64D88570BE}"/>
    <cellStyle name="Good 2 22" xfId="1151" xr:uid="{AC35320E-889D-4163-B30F-22CDFC01D08A}"/>
    <cellStyle name="Good 2 23" xfId="1152" xr:uid="{D17EA0E1-6E76-461F-A1FE-ED18CAB07F40}"/>
    <cellStyle name="Good 2 24" xfId="1153" xr:uid="{F24D258B-CCD5-451B-B8C2-207CDB2F3EAC}"/>
    <cellStyle name="Good 2 25" xfId="1154" xr:uid="{84628FAB-25D9-4F69-B821-306FD76E1E73}"/>
    <cellStyle name="Good 2 26" xfId="1155" xr:uid="{6F3BAE84-17B3-4188-B912-C2A700626FD0}"/>
    <cellStyle name="Good 2 27" xfId="1156" xr:uid="{AD9A7765-E67A-4CBA-8793-17160DE2C880}"/>
    <cellStyle name="Good 2 28" xfId="1157" xr:uid="{D49511A4-CDE6-4B02-8108-567CE0C80843}"/>
    <cellStyle name="Good 2 29" xfId="1158" xr:uid="{5C95380F-0A31-44CA-9B2D-1AFC0B4E5568}"/>
    <cellStyle name="Good 2 3" xfId="1159" xr:uid="{004EE4A8-2AD3-42AF-9B85-2D1F86EA063D}"/>
    <cellStyle name="Good 2 30" xfId="1160" xr:uid="{252EC6A3-5FC7-40D9-BD59-0F93746DE3FC}"/>
    <cellStyle name="Good 2 31" xfId="1161" xr:uid="{BB30E998-0ECD-47A0-86BE-8710D25DB7C2}"/>
    <cellStyle name="Good 2 32" xfId="1162" xr:uid="{ABAE5E35-C313-4252-9EDC-9D48E29D0269}"/>
    <cellStyle name="Good 2 33" xfId="1163" xr:uid="{D0BBC230-0485-4708-8E56-0F602E485533}"/>
    <cellStyle name="Good 2 34" xfId="1164" xr:uid="{CFD78F90-5456-40AB-9DE1-DD2954DB2040}"/>
    <cellStyle name="Good 2 35" xfId="1165" xr:uid="{6FCE10E5-18D4-41B2-B424-2F5C87122402}"/>
    <cellStyle name="Good 2 36" xfId="1166" xr:uid="{ED414708-74A0-4AD4-97A7-19A3002BAA37}"/>
    <cellStyle name="Good 2 37" xfId="1167" xr:uid="{E126429D-E23B-4C70-90A1-5CE6C4DCB99C}"/>
    <cellStyle name="Good 2 38" xfId="1168" xr:uid="{6EDA5D9F-3367-43CA-BD9A-35AB52BC5627}"/>
    <cellStyle name="Good 2 39" xfId="1169" xr:uid="{E8A75C33-368A-47B4-8AA9-1E0248549345}"/>
    <cellStyle name="Good 2 4" xfId="1170" xr:uid="{83A8467F-AEB0-454F-90B2-E6D159277E8A}"/>
    <cellStyle name="Good 2 40" xfId="1171" xr:uid="{54E6BE86-9C41-44B5-9018-8FEBE01F4A0B}"/>
    <cellStyle name="Good 2 41" xfId="1172" xr:uid="{681A1E50-53B2-4AE8-9A84-5C105EF96F0F}"/>
    <cellStyle name="Good 2 42" xfId="1173" xr:uid="{C640ADF9-B1E3-43D3-A7CC-95F463DBFF50}"/>
    <cellStyle name="Good 2 43" xfId="1174" xr:uid="{04C2A862-3A5A-4BFD-AFF9-66A186D31BCE}"/>
    <cellStyle name="Good 2 44" xfId="1175" xr:uid="{96DFF199-3E94-4611-865B-260AA25B482B}"/>
    <cellStyle name="Good 2 45" xfId="1176" xr:uid="{25033FCE-9E1B-4834-80CA-AAD5B5D21E72}"/>
    <cellStyle name="Good 2 46" xfId="1177" xr:uid="{4B573A57-29A2-4557-BE35-F64A6783448A}"/>
    <cellStyle name="Good 2 47" xfId="1178" xr:uid="{A3E96207-14B4-447B-8283-2075E968D186}"/>
    <cellStyle name="Good 2 48" xfId="1179" xr:uid="{423DA70A-2B5B-4467-A580-7D54C7CF1C60}"/>
    <cellStyle name="Good 2 49" xfId="1180" xr:uid="{22A65732-8B3B-48F3-8E0D-5E040EB2A3D8}"/>
    <cellStyle name="Good 2 5" xfId="1181" xr:uid="{D8C545CA-B5C4-4CFE-974F-539A44F6E2C1}"/>
    <cellStyle name="Good 2 6" xfId="1182" xr:uid="{CFB5E653-0511-48FF-A41C-E2A3814D0DF4}"/>
    <cellStyle name="Good 2 7" xfId="1183" xr:uid="{D8017A4E-C555-4FDD-BD4A-B6BAB623430D}"/>
    <cellStyle name="Good 2 8" xfId="1184" xr:uid="{BBE663AE-E800-42FD-86D8-B7D38106A45A}"/>
    <cellStyle name="Good 2 9" xfId="1185" xr:uid="{8E57A274-12C7-4C9F-BE68-99C6AD65E208}"/>
    <cellStyle name="Heading 1 2" xfId="1186" xr:uid="{E591B36B-A327-409D-B9D6-860160DA9E63}"/>
    <cellStyle name="Heading 1 2 10" xfId="1187" xr:uid="{9F3CA248-6C6A-46AC-89AD-97BE1DDA4342}"/>
    <cellStyle name="Heading 1 2 11" xfId="1188" xr:uid="{679D5ED2-43D6-4B09-B65F-51FB3097EAFE}"/>
    <cellStyle name="Heading 1 2 12" xfId="1189" xr:uid="{D78553E8-C636-414D-896E-8385FFF5B82F}"/>
    <cellStyle name="Heading 1 2 13" xfId="1190" xr:uid="{369CDEA3-9BC6-427D-A16D-094782DB89AF}"/>
    <cellStyle name="Heading 1 2 14" xfId="1191" xr:uid="{05ADF891-8D1B-4DFB-86E6-E4920F2D4CBA}"/>
    <cellStyle name="Heading 1 2 15" xfId="1192" xr:uid="{7BF8607A-677D-446E-B1C1-390C32A2AEB6}"/>
    <cellStyle name="Heading 1 2 16" xfId="1193" xr:uid="{96B6A19D-3E2E-4801-A787-7CDDD8489869}"/>
    <cellStyle name="Heading 1 2 17" xfId="1194" xr:uid="{94B68F0C-A405-47C8-99C4-DF66079F9592}"/>
    <cellStyle name="Heading 1 2 18" xfId="1195" xr:uid="{A8E8DFDB-5DA8-4822-9026-74315E84F3C7}"/>
    <cellStyle name="Heading 1 2 19" xfId="1196" xr:uid="{AE6D2F8C-CA52-41E4-ABB9-53C1B22B141C}"/>
    <cellStyle name="Heading 1 2 2" xfId="1197" xr:uid="{22075625-1D9E-4AAC-8457-8C60B10B3901}"/>
    <cellStyle name="Heading 1 2 20" xfId="1198" xr:uid="{40800033-A23C-4AC4-B309-4A26C5BDC7E4}"/>
    <cellStyle name="Heading 1 2 21" xfId="1199" xr:uid="{4708E801-F30B-41BD-BCD7-63BC9B6FC706}"/>
    <cellStyle name="Heading 1 2 22" xfId="1200" xr:uid="{309556D1-17C0-4CF1-9CEF-1A523CB73E5B}"/>
    <cellStyle name="Heading 1 2 23" xfId="1201" xr:uid="{D1AB115B-243B-460C-8588-3AA8959BCDBD}"/>
    <cellStyle name="Heading 1 2 24" xfId="1202" xr:uid="{D2888FFA-58D9-4ACD-B634-A8512A3033B8}"/>
    <cellStyle name="Heading 1 2 25" xfId="1203" xr:uid="{76CBDC8F-FECC-42C7-BCCC-663B9CC842A5}"/>
    <cellStyle name="Heading 1 2 26" xfId="1204" xr:uid="{E0D0499F-76F1-462A-BE58-245A30DA5CDA}"/>
    <cellStyle name="Heading 1 2 27" xfId="1205" xr:uid="{03A8BACC-EAB9-4F6E-B4D0-5ED725B265A3}"/>
    <cellStyle name="Heading 1 2 28" xfId="1206" xr:uid="{C7F84C8C-533E-4B58-8742-AA1220F18130}"/>
    <cellStyle name="Heading 1 2 29" xfId="1207" xr:uid="{743EEB38-EFCE-471E-A45C-8F59DF1BE390}"/>
    <cellStyle name="Heading 1 2 3" xfId="1208" xr:uid="{FAFED68F-8971-458E-BD82-A0A0B8750458}"/>
    <cellStyle name="Heading 1 2 30" xfId="1209" xr:uid="{14CFBAAA-CC43-4567-B173-E4A0FE56FC5E}"/>
    <cellStyle name="Heading 1 2 31" xfId="1210" xr:uid="{823981E9-9F9F-4636-B9F4-5437BF873BCF}"/>
    <cellStyle name="Heading 1 2 32" xfId="1211" xr:uid="{B7DCA366-013B-4CF4-9137-9C3738DDC0DB}"/>
    <cellStyle name="Heading 1 2 33" xfId="1212" xr:uid="{7E875492-1014-4BBE-949F-C2DDE4AB6C96}"/>
    <cellStyle name="Heading 1 2 34" xfId="1213" xr:uid="{84C453C7-FCD7-4DBD-BF6C-16B35B8EC7AA}"/>
    <cellStyle name="Heading 1 2 35" xfId="1214" xr:uid="{E166629C-3B5D-4837-AD46-8CF58E0F1839}"/>
    <cellStyle name="Heading 1 2 36" xfId="1215" xr:uid="{2535D4D1-4EF2-4D11-AD6B-AD6A6680AE78}"/>
    <cellStyle name="Heading 1 2 37" xfId="1216" xr:uid="{C1CFD772-A63B-4F61-B7DB-D7C4C70B4EE1}"/>
    <cellStyle name="Heading 1 2 38" xfId="1217" xr:uid="{3A17DFF4-46E2-4286-9636-842520845EB7}"/>
    <cellStyle name="Heading 1 2 39" xfId="1218" xr:uid="{57185B49-D561-4804-A074-7A8CD9FE81FA}"/>
    <cellStyle name="Heading 1 2 4" xfId="1219" xr:uid="{10987D53-90D3-4E3B-A6A1-B6366691D04A}"/>
    <cellStyle name="Heading 1 2 40" xfId="1220" xr:uid="{01EA662D-179A-47A7-8365-3DC9E87DDFF5}"/>
    <cellStyle name="Heading 1 2 41" xfId="1221" xr:uid="{3E3EFBB2-CAAE-43A9-AA17-7C7BDE8DF2F0}"/>
    <cellStyle name="Heading 1 2 42" xfId="1222" xr:uid="{0864841A-BFC8-4CD3-8BD7-2D3DA101068A}"/>
    <cellStyle name="Heading 1 2 43" xfId="1223" xr:uid="{8E89E4AF-BEE2-407A-A34D-E0CC63CB8FED}"/>
    <cellStyle name="Heading 1 2 44" xfId="1224" xr:uid="{A63DD7F3-8CC7-473F-B79F-A3781322F657}"/>
    <cellStyle name="Heading 1 2 45" xfId="1225" xr:uid="{4487B309-0901-4B2B-91CD-DD724845A7B0}"/>
    <cellStyle name="Heading 1 2 46" xfId="1226" xr:uid="{337D248D-A1B4-489A-98EF-A2EA2CCC7121}"/>
    <cellStyle name="Heading 1 2 47" xfId="1227" xr:uid="{2D55ADD7-B51D-428B-A602-5DABDCE3B520}"/>
    <cellStyle name="Heading 1 2 48" xfId="1228" xr:uid="{8681036D-A90A-4D48-A3BF-130345DB629A}"/>
    <cellStyle name="Heading 1 2 49" xfId="1229" xr:uid="{56DB026A-D17D-403B-828A-9D0ED25F27D0}"/>
    <cellStyle name="Heading 1 2 49 2" xfId="1230" xr:uid="{33DDF9E9-4F7E-42C8-BF5C-B76C74D0CB9F}"/>
    <cellStyle name="Heading 1 2 5" xfId="1231" xr:uid="{00F66074-8F8A-4737-AB77-8F6395805D99}"/>
    <cellStyle name="Heading 1 2 50" xfId="1232" xr:uid="{3DDD4974-76AD-46A9-829F-97EC19430DF6}"/>
    <cellStyle name="Heading 1 2 50 2" xfId="1233" xr:uid="{87620B6C-75A5-4B26-B9E4-5AEBCE0AF117}"/>
    <cellStyle name="Heading 1 2 6" xfId="1234" xr:uid="{C5C0EBC0-4D21-48C2-8AE5-506824A672B4}"/>
    <cellStyle name="Heading 1 2 7" xfId="1235" xr:uid="{C9A41936-DB54-499B-B99B-7E6CA4D95FE6}"/>
    <cellStyle name="Heading 1 2 8" xfId="1236" xr:uid="{5642F5E4-12EA-4084-B05D-145663D050A3}"/>
    <cellStyle name="Heading 1 2 9" xfId="1237" xr:uid="{6483B948-E127-439A-81FB-5A57290380DF}"/>
    <cellStyle name="Heading 2 2" xfId="1238" xr:uid="{0C819AAE-1A5E-423E-A10C-557723CEDF4B}"/>
    <cellStyle name="Heading 2 2 10" xfId="1239" xr:uid="{326CD645-7887-4B25-9738-8B6EC0A7039D}"/>
    <cellStyle name="Heading 2 2 11" xfId="1240" xr:uid="{94FB180F-6BC9-4D7B-8687-C309A598D440}"/>
    <cellStyle name="Heading 2 2 12" xfId="1241" xr:uid="{C481F871-98C1-4BC1-B3FE-498B6556C664}"/>
    <cellStyle name="Heading 2 2 13" xfId="1242" xr:uid="{36E6A9FB-6DCF-4B7F-917A-8EF6C909D5CB}"/>
    <cellStyle name="Heading 2 2 14" xfId="1243" xr:uid="{939DFFBC-A40A-4FEB-8B83-71E030FE4924}"/>
    <cellStyle name="Heading 2 2 15" xfId="1244" xr:uid="{F7627EBF-EE7A-48BF-B775-80F26B94BA31}"/>
    <cellStyle name="Heading 2 2 16" xfId="1245" xr:uid="{C9FD3B67-BA4C-4C74-865D-DB0C19784F58}"/>
    <cellStyle name="Heading 2 2 17" xfId="1246" xr:uid="{06C6D591-6F06-41FC-872C-29B047F2B285}"/>
    <cellStyle name="Heading 2 2 18" xfId="1247" xr:uid="{45255302-0C4F-4065-9AA4-B6FABCE1A44D}"/>
    <cellStyle name="Heading 2 2 19" xfId="1248" xr:uid="{D2905CED-E943-4EAB-B945-51C650907201}"/>
    <cellStyle name="Heading 2 2 2" xfId="1249" xr:uid="{5FA39D04-79E2-419B-8216-EFE67648CBFE}"/>
    <cellStyle name="Heading 2 2 20" xfId="1250" xr:uid="{175CD39C-FADB-43C5-A9C1-EED5C47520AB}"/>
    <cellStyle name="Heading 2 2 21" xfId="1251" xr:uid="{7F58E8A1-11F7-4FF4-ACFB-14BF397C5D09}"/>
    <cellStyle name="Heading 2 2 22" xfId="1252" xr:uid="{23788EAB-2DC8-45CC-A07A-C1905A9E5B84}"/>
    <cellStyle name="Heading 2 2 23" xfId="1253" xr:uid="{F1EDDC36-513D-41BF-89A9-37B92287F68F}"/>
    <cellStyle name="Heading 2 2 24" xfId="1254" xr:uid="{638E41C4-D4E1-4A34-9753-EF1A61A842B0}"/>
    <cellStyle name="Heading 2 2 25" xfId="1255" xr:uid="{BCCA7532-519A-446F-902A-CB424B8BE909}"/>
    <cellStyle name="Heading 2 2 26" xfId="1256" xr:uid="{4DFAF017-FBE1-43CB-98F7-2619638DB5DD}"/>
    <cellStyle name="Heading 2 2 27" xfId="1257" xr:uid="{C66F7E60-758A-49C5-AFEB-A95A217A47F6}"/>
    <cellStyle name="Heading 2 2 28" xfId="1258" xr:uid="{D9DB166F-7B53-475F-8F2D-DFB672C82466}"/>
    <cellStyle name="Heading 2 2 29" xfId="1259" xr:uid="{A298599A-CDE9-449D-9EE5-1C37E3C71146}"/>
    <cellStyle name="Heading 2 2 3" xfId="1260" xr:uid="{6E090341-BFA5-4A09-A986-5657006BF792}"/>
    <cellStyle name="Heading 2 2 30" xfId="1261" xr:uid="{B2B4FFC1-4CE7-4CAC-B87E-6A5B1D0EE93D}"/>
    <cellStyle name="Heading 2 2 31" xfId="1262" xr:uid="{04EF119C-4AE9-4CB1-B274-15A497C6AC19}"/>
    <cellStyle name="Heading 2 2 32" xfId="1263" xr:uid="{558CAFF2-8FD4-4D2A-8799-FCFEF8795FA6}"/>
    <cellStyle name="Heading 2 2 33" xfId="1264" xr:uid="{DA6A7F5A-FF4E-4095-8B1B-ADC8BAED926F}"/>
    <cellStyle name="Heading 2 2 34" xfId="1265" xr:uid="{94483EE7-F3F2-4F1F-8A43-C122F3AC4F7B}"/>
    <cellStyle name="Heading 2 2 35" xfId="1266" xr:uid="{532ACB8C-9284-4984-ACB1-FD5384F28D74}"/>
    <cellStyle name="Heading 2 2 36" xfId="1267" xr:uid="{D0556AA9-7169-4F54-B7E6-8B76917FC9B0}"/>
    <cellStyle name="Heading 2 2 37" xfId="1268" xr:uid="{C52A162C-8445-44FD-A8BC-7700B2E4FE3E}"/>
    <cellStyle name="Heading 2 2 38" xfId="1269" xr:uid="{DC5195E2-1FC6-43E3-B1F7-FE9FEC68458C}"/>
    <cellStyle name="Heading 2 2 39" xfId="1270" xr:uid="{4C4C3C84-4F11-4662-8DD5-7D9F28A65107}"/>
    <cellStyle name="Heading 2 2 4" xfId="1271" xr:uid="{5A8706DF-40EB-4929-8165-A3CE3F6E0E32}"/>
    <cellStyle name="Heading 2 2 40" xfId="1272" xr:uid="{EDBAD970-2985-42DC-B7BD-6833C46606EC}"/>
    <cellStyle name="Heading 2 2 41" xfId="1273" xr:uid="{CF9CD94E-6415-428D-ACD6-E0E7A35F128E}"/>
    <cellStyle name="Heading 2 2 42" xfId="1274" xr:uid="{3BD9DE7D-0664-46FA-870C-E6B64702DC2E}"/>
    <cellStyle name="Heading 2 2 43" xfId="1275" xr:uid="{43634ED7-605B-474D-9B51-DF76EFFFD4C0}"/>
    <cellStyle name="Heading 2 2 44" xfId="1276" xr:uid="{3E95B91D-85C1-43A7-8409-EEA291BAF85D}"/>
    <cellStyle name="Heading 2 2 45" xfId="1277" xr:uid="{E68C6B62-A59A-4029-9C95-1C4FF74D0C61}"/>
    <cellStyle name="Heading 2 2 46" xfId="1278" xr:uid="{5EFB9BA1-85CA-4150-AE11-6E3935489EFA}"/>
    <cellStyle name="Heading 2 2 47" xfId="1279" xr:uid="{0FFC7144-BB44-4E74-BF7C-59C46057CA89}"/>
    <cellStyle name="Heading 2 2 48" xfId="1280" xr:uid="{50525AE2-CE89-47DB-BF8E-1DE204A563FA}"/>
    <cellStyle name="Heading 2 2 49" xfId="1281" xr:uid="{6C92F50C-28C1-44C9-AECB-805416CE33E3}"/>
    <cellStyle name="Heading 2 2 49 2" xfId="1282" xr:uid="{6FAF5BEC-71C0-4738-A018-D955248BE9E1}"/>
    <cellStyle name="Heading 2 2 5" xfId="1283" xr:uid="{7AD706F1-6B95-4841-9A12-C59D4A5D64A2}"/>
    <cellStyle name="Heading 2 2 50" xfId="1284" xr:uid="{1CDB8FD2-04D3-4A8B-9C72-87AFE04E6E3C}"/>
    <cellStyle name="Heading 2 2 50 2" xfId="1285" xr:uid="{3DB3821C-23B4-471D-9E4A-ACD5A264133A}"/>
    <cellStyle name="Heading 2 2 6" xfId="1286" xr:uid="{03B4868B-EFAC-480D-A417-F9C51E712CB9}"/>
    <cellStyle name="Heading 2 2 7" xfId="1287" xr:uid="{43135E67-10F0-4110-B966-C9645516DB38}"/>
    <cellStyle name="Heading 2 2 8" xfId="1288" xr:uid="{2B9483E0-7F11-45BE-B037-8BEAFD08DABB}"/>
    <cellStyle name="Heading 2 2 9" xfId="1289" xr:uid="{2E6E63B5-21C2-4DF0-B67C-116DAACF4E28}"/>
    <cellStyle name="Heading 3 2" xfId="1290" xr:uid="{A213CC5F-BCC8-4A31-8236-3E7C3C615E1C}"/>
    <cellStyle name="Heading 3 2 10" xfId="1291" xr:uid="{E02C8E18-2CF2-48C5-A7B1-166EE5327AE0}"/>
    <cellStyle name="Heading 3 2 11" xfId="1292" xr:uid="{893CCF63-5CA1-496F-83A6-31037677D222}"/>
    <cellStyle name="Heading 3 2 12" xfId="1293" xr:uid="{3B451B2D-399E-4661-BC9F-C9EC050BC435}"/>
    <cellStyle name="Heading 3 2 13" xfId="1294" xr:uid="{3CA472A6-6C81-4185-AB54-46696598B268}"/>
    <cellStyle name="Heading 3 2 14" xfId="1295" xr:uid="{9EC11E9C-1C56-41EB-907A-84DC17EC067D}"/>
    <cellStyle name="Heading 3 2 15" xfId="1296" xr:uid="{22C62BC0-7716-4A87-B23F-B8B7B484B485}"/>
    <cellStyle name="Heading 3 2 16" xfId="1297" xr:uid="{803E4E61-C528-40A2-AFD7-D40E64F6BE31}"/>
    <cellStyle name="Heading 3 2 17" xfId="1298" xr:uid="{73948AB1-234A-4BBB-8C34-5433D95905E3}"/>
    <cellStyle name="Heading 3 2 18" xfId="1299" xr:uid="{EED678A5-EDF6-4C7E-9BC1-C1DE218944A5}"/>
    <cellStyle name="Heading 3 2 19" xfId="1300" xr:uid="{79D5E1D7-9C04-403A-9C97-3E7C2556ECB8}"/>
    <cellStyle name="Heading 3 2 2" xfId="1301" xr:uid="{3759FFFC-9A5F-4FA4-85E8-AF2E0954B3D9}"/>
    <cellStyle name="Heading 3 2 20" xfId="1302" xr:uid="{4E0EF4FA-EFBA-41EC-BD7A-C482F4939A60}"/>
    <cellStyle name="Heading 3 2 21" xfId="1303" xr:uid="{1A570448-3FAE-4787-BD89-EE17C3372FCD}"/>
    <cellStyle name="Heading 3 2 22" xfId="1304" xr:uid="{ED6E390C-99A0-4E14-8A99-6DF543B59263}"/>
    <cellStyle name="Heading 3 2 23" xfId="1305" xr:uid="{62CB3E33-7252-4924-97F1-40703440E040}"/>
    <cellStyle name="Heading 3 2 24" xfId="1306" xr:uid="{25C22DBE-84BB-4DE1-BD60-96361D1F8CE7}"/>
    <cellStyle name="Heading 3 2 25" xfId="1307" xr:uid="{8532FB9E-9932-4621-9BA4-A60D85746817}"/>
    <cellStyle name="Heading 3 2 26" xfId="1308" xr:uid="{5DED5328-2026-4E4C-9F72-CFA0933468B5}"/>
    <cellStyle name="Heading 3 2 27" xfId="1309" xr:uid="{1B58319E-BF72-42AD-8CA1-52E52D1CC8C5}"/>
    <cellStyle name="Heading 3 2 28" xfId="1310" xr:uid="{55FF9A57-00DF-41D3-A040-33B52E250877}"/>
    <cellStyle name="Heading 3 2 29" xfId="1311" xr:uid="{6170D195-3809-4D7E-AC32-04DB558F72F7}"/>
    <cellStyle name="Heading 3 2 3" xfId="1312" xr:uid="{D4860D0E-7C47-48D4-98CA-74FDC39518C7}"/>
    <cellStyle name="Heading 3 2 30" xfId="1313" xr:uid="{25FB769B-0322-47AA-8AD3-A73776C79633}"/>
    <cellStyle name="Heading 3 2 31" xfId="1314" xr:uid="{341BF91B-64DB-4329-82A7-336DDB993C1E}"/>
    <cellStyle name="Heading 3 2 32" xfId="1315" xr:uid="{A35D9614-D3FD-48FC-96EC-73DFA1850EC7}"/>
    <cellStyle name="Heading 3 2 33" xfId="1316" xr:uid="{B3EBC261-4809-4D0B-9FF2-6AFE63E94378}"/>
    <cellStyle name="Heading 3 2 34" xfId="1317" xr:uid="{4B808AFE-B36F-445E-90AF-77244FC9B57F}"/>
    <cellStyle name="Heading 3 2 35" xfId="1318" xr:uid="{EB737E2A-8E73-4CE2-A14A-30A1C080510B}"/>
    <cellStyle name="Heading 3 2 36" xfId="1319" xr:uid="{55D561F6-C707-402A-BFCF-200776B1EB78}"/>
    <cellStyle name="Heading 3 2 37" xfId="1320" xr:uid="{E8399AB5-3AF5-4445-878A-0E25FEDEA268}"/>
    <cellStyle name="Heading 3 2 38" xfId="1321" xr:uid="{28CCB9E4-6E02-498D-9E96-BD198CDEFC18}"/>
    <cellStyle name="Heading 3 2 39" xfId="1322" xr:uid="{4F7DFCD8-DFC1-4BCB-92F1-3ADA3E2A64C5}"/>
    <cellStyle name="Heading 3 2 4" xfId="1323" xr:uid="{57AB73DB-CE7C-49B0-90DC-BF09DEAA2EDE}"/>
    <cellStyle name="Heading 3 2 40" xfId="1324" xr:uid="{BA04EDBC-9BF7-4AD2-87D6-2D328044CD4C}"/>
    <cellStyle name="Heading 3 2 41" xfId="1325" xr:uid="{03A8D0E2-4EDF-4A8D-82FA-E569208B88CF}"/>
    <cellStyle name="Heading 3 2 42" xfId="1326" xr:uid="{F40CCE4D-FA49-4DD6-A680-55B3C2E7EDFE}"/>
    <cellStyle name="Heading 3 2 43" xfId="1327" xr:uid="{FA44E200-8CB6-4971-89D3-415D257CAA2B}"/>
    <cellStyle name="Heading 3 2 44" xfId="1328" xr:uid="{414F4824-78CF-485B-BD85-6F5C02224ABD}"/>
    <cellStyle name="Heading 3 2 45" xfId="1329" xr:uid="{8D284502-39EB-484E-91D7-519234DBC938}"/>
    <cellStyle name="Heading 3 2 46" xfId="1330" xr:uid="{6FCCF7BE-18F3-4466-8B2A-36DA81BA3CC9}"/>
    <cellStyle name="Heading 3 2 47" xfId="1331" xr:uid="{2915F858-1D02-4A7C-8832-3F80817E8842}"/>
    <cellStyle name="Heading 3 2 48" xfId="1332" xr:uid="{C088259B-45D5-4380-AD02-CDA0747A79EE}"/>
    <cellStyle name="Heading 3 2 49" xfId="1333" xr:uid="{30B0170F-4233-4BAA-9BDA-913AB7BC6AC1}"/>
    <cellStyle name="Heading 3 2 49 2" xfId="1334" xr:uid="{2A880856-2ECB-4096-AECB-4413C52B974C}"/>
    <cellStyle name="Heading 3 2 5" xfId="1335" xr:uid="{3BFC0508-2ACB-4E85-A23E-4862C2865010}"/>
    <cellStyle name="Heading 3 2 50" xfId="1336" xr:uid="{402F9B81-4A03-4621-8716-BC3096A17B03}"/>
    <cellStyle name="Heading 3 2 50 2" xfId="1337" xr:uid="{CDFE881F-0307-4F52-9ED7-1145340B6E8A}"/>
    <cellStyle name="Heading 3 2 6" xfId="1338" xr:uid="{62E5EF58-9DFE-4613-BFE6-D55B84195A1B}"/>
    <cellStyle name="Heading 3 2 7" xfId="1339" xr:uid="{345675AB-9CF8-4BA4-BB27-1F4E5D9852A4}"/>
    <cellStyle name="Heading 3 2 8" xfId="1340" xr:uid="{88396F50-C70C-47C1-9ED6-0A9714649308}"/>
    <cellStyle name="Heading 3 2 9" xfId="1341" xr:uid="{E4484433-7275-4DAB-8A87-73BA45F90571}"/>
    <cellStyle name="Heading 4 2" xfId="1342" xr:uid="{BB5E19CC-C040-4C51-B285-E33206072500}"/>
    <cellStyle name="Heading 4 2 10" xfId="1343" xr:uid="{77AC1C8B-28C6-41B9-AE04-D7312756533E}"/>
    <cellStyle name="Heading 4 2 11" xfId="1344" xr:uid="{D8A40C7F-6229-4711-BD2A-72356B903C7C}"/>
    <cellStyle name="Heading 4 2 12" xfId="1345" xr:uid="{27441732-C3C1-4256-8A5C-76BC5EC050B1}"/>
    <cellStyle name="Heading 4 2 13" xfId="1346" xr:uid="{BDB8AEB4-805A-4F8E-BC0A-1018A582FAFB}"/>
    <cellStyle name="Heading 4 2 14" xfId="1347" xr:uid="{C648C4A5-F267-4559-9BC8-3F8500B434EE}"/>
    <cellStyle name="Heading 4 2 15" xfId="1348" xr:uid="{2321B579-8BAB-4C16-A564-DD10D2AF7AE9}"/>
    <cellStyle name="Heading 4 2 16" xfId="1349" xr:uid="{3B95624E-DEF3-48BF-8D55-6D374558973B}"/>
    <cellStyle name="Heading 4 2 17" xfId="1350" xr:uid="{6E88281B-F52A-47B4-95A6-32B934A68FB2}"/>
    <cellStyle name="Heading 4 2 18" xfId="1351" xr:uid="{DB252861-A3FE-4505-A827-78F2F5627BCC}"/>
    <cellStyle name="Heading 4 2 19" xfId="1352" xr:uid="{9DA4331E-A3DC-42E2-BC16-67A5EB7E6E31}"/>
    <cellStyle name="Heading 4 2 2" xfId="1353" xr:uid="{4F200C50-31BA-4988-81F8-14DAA48C5E66}"/>
    <cellStyle name="Heading 4 2 20" xfId="1354" xr:uid="{058A697E-D832-4F90-877C-FC5D87D05909}"/>
    <cellStyle name="Heading 4 2 21" xfId="1355" xr:uid="{83B8A749-4EC7-48A1-A345-106D43A9613C}"/>
    <cellStyle name="Heading 4 2 22" xfId="1356" xr:uid="{6D37766B-07FA-44F8-BDF2-37CC52AF0AB6}"/>
    <cellStyle name="Heading 4 2 23" xfId="1357" xr:uid="{43F310BC-CE7D-45BA-8B02-B6BA6AADB8A0}"/>
    <cellStyle name="Heading 4 2 24" xfId="1358" xr:uid="{7D2D843B-B3A8-4DD5-9291-758ED31B9CEE}"/>
    <cellStyle name="Heading 4 2 25" xfId="1359" xr:uid="{E65AE53B-926E-47C3-BEED-6161D4A195ED}"/>
    <cellStyle name="Heading 4 2 26" xfId="1360" xr:uid="{7DEE703C-761A-4FB1-9C1C-5ABD8F0CC4AE}"/>
    <cellStyle name="Heading 4 2 27" xfId="1361" xr:uid="{278E5101-FB74-4FC9-B126-34D3767DC74F}"/>
    <cellStyle name="Heading 4 2 28" xfId="1362" xr:uid="{7D051669-6F0D-4771-BFE7-67654B1EBB6B}"/>
    <cellStyle name="Heading 4 2 29" xfId="1363" xr:uid="{75499859-C438-4EED-9B30-559587FDA230}"/>
    <cellStyle name="Heading 4 2 3" xfId="1364" xr:uid="{89B6250B-ED58-415C-80B6-33957D7CAB71}"/>
    <cellStyle name="Heading 4 2 30" xfId="1365" xr:uid="{1CFE7767-3753-411A-ACBA-8F2DABE7B432}"/>
    <cellStyle name="Heading 4 2 31" xfId="1366" xr:uid="{7D75A188-6365-4F63-9393-C44AECF14842}"/>
    <cellStyle name="Heading 4 2 32" xfId="1367" xr:uid="{37FD2ABC-B97F-45FC-820F-EE86BBD81549}"/>
    <cellStyle name="Heading 4 2 33" xfId="1368" xr:uid="{9360B3D0-087F-4E02-9A39-33AE907D9777}"/>
    <cellStyle name="Heading 4 2 34" xfId="1369" xr:uid="{8B92E404-B0DC-4C48-9A94-50B654DB2C0A}"/>
    <cellStyle name="Heading 4 2 35" xfId="1370" xr:uid="{5B3D4719-7DFF-46D6-A33B-7511935C0F4C}"/>
    <cellStyle name="Heading 4 2 36" xfId="1371" xr:uid="{2AC22983-2249-4332-9B64-4A8C50347D86}"/>
    <cellStyle name="Heading 4 2 37" xfId="1372" xr:uid="{F0E0ABCC-510E-414A-915F-1CED3A5D5F0D}"/>
    <cellStyle name="Heading 4 2 38" xfId="1373" xr:uid="{488D16F6-B822-4F29-8C64-845C8D8AC399}"/>
    <cellStyle name="Heading 4 2 39" xfId="1374" xr:uid="{421D2150-8247-4FB7-A113-8A53C93DC8DE}"/>
    <cellStyle name="Heading 4 2 4" xfId="1375" xr:uid="{9A3AA0C1-1675-409F-98D8-9EF661A5BC89}"/>
    <cellStyle name="Heading 4 2 40" xfId="1376" xr:uid="{144A8A2D-FA51-4E45-A7B5-0EDCAA2DE86A}"/>
    <cellStyle name="Heading 4 2 41" xfId="1377" xr:uid="{57758A7E-BE9F-4A5C-9580-9D7CC28B5519}"/>
    <cellStyle name="Heading 4 2 42" xfId="1378" xr:uid="{52D9FC61-9674-44A8-AE82-A0A94B14030F}"/>
    <cellStyle name="Heading 4 2 43" xfId="1379" xr:uid="{57905879-6299-43AD-8EC8-0DAC135356CC}"/>
    <cellStyle name="Heading 4 2 44" xfId="1380" xr:uid="{71D4F73F-CCE4-4495-A4E9-68396577E365}"/>
    <cellStyle name="Heading 4 2 45" xfId="1381" xr:uid="{252CE731-0354-44A6-BB9B-32C127795C44}"/>
    <cellStyle name="Heading 4 2 46" xfId="1382" xr:uid="{C8CF48E2-0A89-47BE-A535-EDF7051BC42A}"/>
    <cellStyle name="Heading 4 2 47" xfId="1383" xr:uid="{593C8E24-7447-410E-A517-97AEBB0AFCA6}"/>
    <cellStyle name="Heading 4 2 48" xfId="1384" xr:uid="{BC781CF1-00C1-4230-ABC6-244C018F5E99}"/>
    <cellStyle name="Heading 4 2 49" xfId="1385" xr:uid="{C2B91ED8-47BF-4F79-9AAD-FDD09CC37066}"/>
    <cellStyle name="Heading 4 2 49 2" xfId="1386" xr:uid="{CFF41183-F127-4D34-B1FE-18CE289CED05}"/>
    <cellStyle name="Heading 4 2 5" xfId="1387" xr:uid="{A595A45B-8A81-4817-A451-C2769C128EE3}"/>
    <cellStyle name="Heading 4 2 50" xfId="1388" xr:uid="{C478BF5D-9E84-4ED7-9FDC-CF293B01082D}"/>
    <cellStyle name="Heading 4 2 50 2" xfId="1389" xr:uid="{C0F829E7-D8ED-4499-9F21-79FB2C01AE69}"/>
    <cellStyle name="Heading 4 2 6" xfId="1390" xr:uid="{491C5FB9-D2B3-4E46-976A-0D7E5071B7AF}"/>
    <cellStyle name="Heading 4 2 7" xfId="1391" xr:uid="{D56A60DD-688D-4035-985E-698C40F21612}"/>
    <cellStyle name="Heading 4 2 8" xfId="1392" xr:uid="{B5A83116-EC54-4A03-8DB5-3DD351B014AC}"/>
    <cellStyle name="Heading 4 2 9" xfId="1393" xr:uid="{B6EDC8BB-C6E6-4640-ADC5-D43D065CE671}"/>
    <cellStyle name="Input 2" xfId="1394" xr:uid="{346B121A-65B4-474A-88FA-01312F3FD442}"/>
    <cellStyle name="Input 2 10" xfId="1395" xr:uid="{6CAD4D0C-03EF-45E3-AD18-1A3326208765}"/>
    <cellStyle name="Input 2 11" xfId="1396" xr:uid="{28D87719-70CD-492F-9587-82E2CC7859FD}"/>
    <cellStyle name="Input 2 12" xfId="1397" xr:uid="{64A0C38B-4C29-400A-BEC6-2EAC6305A054}"/>
    <cellStyle name="Input 2 13" xfId="1398" xr:uid="{71FBA808-7E63-44FD-8A8F-9A24086E1A2B}"/>
    <cellStyle name="Input 2 14" xfId="1399" xr:uid="{8CD2117F-B0CC-477E-B79C-46680D050AC9}"/>
    <cellStyle name="Input 2 15" xfId="1400" xr:uid="{0445FD6B-FBE3-4365-A9A3-86ECEF391B5F}"/>
    <cellStyle name="Input 2 16" xfId="1401" xr:uid="{1C1207DB-6111-4654-B317-209FAD106AA9}"/>
    <cellStyle name="Input 2 17" xfId="1402" xr:uid="{3C7F7B34-A651-4FE4-8390-2CC9EC8CB2F3}"/>
    <cellStyle name="Input 2 18" xfId="1403" xr:uid="{BCD861C2-F188-490C-9608-C1293AFDDC98}"/>
    <cellStyle name="Input 2 19" xfId="1404" xr:uid="{330D7BCE-1E5A-4A3C-8913-63BA414C9507}"/>
    <cellStyle name="Input 2 2" xfId="1405" xr:uid="{3942A1D0-3CD9-4C9F-938E-8568A81C2CF5}"/>
    <cellStyle name="Input 2 20" xfId="1406" xr:uid="{3E01A66F-54BF-4AD3-802F-D6C7D0599C66}"/>
    <cellStyle name="Input 2 21" xfId="1407" xr:uid="{958521AB-253C-4D2D-A5EE-8F3361EB35B3}"/>
    <cellStyle name="Input 2 22" xfId="1408" xr:uid="{2CD917EB-A0AA-43DE-8F04-93C9B8F8B19C}"/>
    <cellStyle name="Input 2 23" xfId="1409" xr:uid="{4F985E5D-2A8A-4481-A113-67D171353F21}"/>
    <cellStyle name="Input 2 24" xfId="1410" xr:uid="{774ECE34-5AB2-4CA0-9112-CB05C2DE6EF2}"/>
    <cellStyle name="Input 2 25" xfId="1411" xr:uid="{7BC6EFBC-91C7-4047-9F79-03366CA1E866}"/>
    <cellStyle name="Input 2 26" xfId="1412" xr:uid="{39E18839-E80E-4A72-B9D6-4A4678548428}"/>
    <cellStyle name="Input 2 27" xfId="1413" xr:uid="{85DF6CF7-A365-4D26-934B-9F1887585499}"/>
    <cellStyle name="Input 2 28" xfId="1414" xr:uid="{CBD04E19-6C44-4C2A-849E-138FCB1DBA9A}"/>
    <cellStyle name="Input 2 29" xfId="1415" xr:uid="{93AE5918-39F9-4365-BEBF-FC50DED54068}"/>
    <cellStyle name="Input 2 3" xfId="1416" xr:uid="{B5305F63-85AD-4EA2-8801-CFC730DCD6A1}"/>
    <cellStyle name="Input 2 30" xfId="1417" xr:uid="{E8EDD502-C5E4-4829-90D5-48ECCFDE1D08}"/>
    <cellStyle name="Input 2 31" xfId="1418" xr:uid="{4BFD76A9-A84A-43BE-BCCB-47F4347E2A5B}"/>
    <cellStyle name="Input 2 32" xfId="1419" xr:uid="{0DA90658-CCD5-4506-B1EB-461731DB03C4}"/>
    <cellStyle name="Input 2 33" xfId="1420" xr:uid="{547AE6E7-9A10-4C77-8983-C7EAAA52E53E}"/>
    <cellStyle name="Input 2 34" xfId="1421" xr:uid="{6199DD29-411E-4DE5-A160-98DA5608DD27}"/>
    <cellStyle name="Input 2 35" xfId="1422" xr:uid="{DD3F7242-71A6-43B9-A282-2AD06C115155}"/>
    <cellStyle name="Input 2 36" xfId="1423" xr:uid="{80FD1B37-A843-4973-9D98-A7D2B616284C}"/>
    <cellStyle name="Input 2 37" xfId="1424" xr:uid="{4116657C-06F4-4122-8391-5D3266EF2DF5}"/>
    <cellStyle name="Input 2 38" xfId="1425" xr:uid="{3A36813F-C6DF-4776-BB93-65A7B303EED1}"/>
    <cellStyle name="Input 2 39" xfId="1426" xr:uid="{CD12D170-362C-490D-A727-F2B0F9449081}"/>
    <cellStyle name="Input 2 4" xfId="1427" xr:uid="{2FDDAA22-C76C-4D2C-9852-6F27957F78AB}"/>
    <cellStyle name="Input 2 40" xfId="1428" xr:uid="{602A09C3-8A81-4BC1-A61D-44777C68CE3B}"/>
    <cellStyle name="Input 2 41" xfId="1429" xr:uid="{6132EBBD-4E46-4E58-A830-C975CB960D1B}"/>
    <cellStyle name="Input 2 42" xfId="1430" xr:uid="{FB9440AF-31CD-41A8-8C69-DD49CA8B850D}"/>
    <cellStyle name="Input 2 43" xfId="1431" xr:uid="{50464F7E-C9EA-4E13-8D84-E34418A19A92}"/>
    <cellStyle name="Input 2 44" xfId="1432" xr:uid="{EF813047-33D8-474D-83C8-8BF10A22A82A}"/>
    <cellStyle name="Input 2 45" xfId="1433" xr:uid="{07E6DB1B-FBBA-4D1C-9E5E-1FE29050A3F2}"/>
    <cellStyle name="Input 2 46" xfId="1434" xr:uid="{AA6E8E09-0FD2-4F2D-B090-FF7E4B99BE8C}"/>
    <cellStyle name="Input 2 47" xfId="1435" xr:uid="{5696A78F-7810-48EB-9EF5-CB8EF7CFB16A}"/>
    <cellStyle name="Input 2 48" xfId="1436" xr:uid="{C0B7DB4D-AE9F-44E7-BAEC-815B8DDDBF16}"/>
    <cellStyle name="Input 2 49" xfId="1437" xr:uid="{3CCA8702-23C6-4D4C-9816-76E251374AB4}"/>
    <cellStyle name="Input 2 5" xfId="1438" xr:uid="{CD55B7BF-B0A3-4E94-BE6A-BD87E6B95CC9}"/>
    <cellStyle name="Input 2 6" xfId="1439" xr:uid="{BFDFE611-7DC6-45E0-862E-ED8B5F57A217}"/>
    <cellStyle name="Input 2 7" xfId="1440" xr:uid="{074DFDCB-19E9-48F7-8485-3CE67F16674C}"/>
    <cellStyle name="Input 2 8" xfId="1441" xr:uid="{F1A87A5E-C7D7-4180-B776-D7A2B6441364}"/>
    <cellStyle name="Input 2 9" xfId="1442" xr:uid="{27E0DB83-9CD0-4D07-A7E0-1CE6E4FEF8CA}"/>
    <cellStyle name="Linked Cell 2" xfId="1443" xr:uid="{2B993EC2-4413-4150-A933-EA441DECF1CF}"/>
    <cellStyle name="Linked Cell 2 10" xfId="1444" xr:uid="{6F1672AC-2987-4A30-94B4-B74BD853F977}"/>
    <cellStyle name="Linked Cell 2 11" xfId="1445" xr:uid="{BD94408D-FA0F-47E2-9515-4758FE4F0BAB}"/>
    <cellStyle name="Linked Cell 2 12" xfId="1446" xr:uid="{F0284393-B682-495F-8A03-66F7B7E18A01}"/>
    <cellStyle name="Linked Cell 2 13" xfId="1447" xr:uid="{C1DF51DA-B16E-4FA4-A420-049B0FD0C7A8}"/>
    <cellStyle name="Linked Cell 2 14" xfId="1448" xr:uid="{18F2143D-3F62-40EA-A8EF-04BB34ADADC3}"/>
    <cellStyle name="Linked Cell 2 15" xfId="1449" xr:uid="{FCA1FB1F-3773-4072-8A4F-D006A178ADFB}"/>
    <cellStyle name="Linked Cell 2 16" xfId="1450" xr:uid="{DBBCC406-D90F-4EF1-803B-6A80639B2726}"/>
    <cellStyle name="Linked Cell 2 17" xfId="1451" xr:uid="{441AA7D1-1CD5-4995-9856-C038E9C00C35}"/>
    <cellStyle name="Linked Cell 2 18" xfId="1452" xr:uid="{5BAD7D98-8463-4D3E-9A24-F71159EB2CDE}"/>
    <cellStyle name="Linked Cell 2 19" xfId="1453" xr:uid="{05F25514-69BB-43FD-BAF3-AE110CBABCB4}"/>
    <cellStyle name="Linked Cell 2 2" xfId="1454" xr:uid="{7821CA00-C071-494A-81EA-3DB5093DC90C}"/>
    <cellStyle name="Linked Cell 2 20" xfId="1455" xr:uid="{1E541A1A-3C69-4C66-825F-08F38BE48753}"/>
    <cellStyle name="Linked Cell 2 21" xfId="1456" xr:uid="{9D90CCB8-C4CE-4634-B58A-50F0FB071A75}"/>
    <cellStyle name="Linked Cell 2 22" xfId="1457" xr:uid="{3F6CD11E-230E-4142-9809-871763C1E6E6}"/>
    <cellStyle name="Linked Cell 2 23" xfId="1458" xr:uid="{663CD006-9246-4771-B2EC-D25C6C1CD0FF}"/>
    <cellStyle name="Linked Cell 2 24" xfId="1459" xr:uid="{BB56E9C8-7BAD-47F7-933D-49D243650BF8}"/>
    <cellStyle name="Linked Cell 2 25" xfId="1460" xr:uid="{EC008BFD-84CE-462E-8243-3690F84FD6BC}"/>
    <cellStyle name="Linked Cell 2 26" xfId="1461" xr:uid="{7727CEC4-9DF0-4B66-BF30-B659068471C6}"/>
    <cellStyle name="Linked Cell 2 27" xfId="1462" xr:uid="{65E3F33A-FD3F-45E0-AF76-707C6B27D9AD}"/>
    <cellStyle name="Linked Cell 2 28" xfId="1463" xr:uid="{38F098C4-87D8-45BB-86AA-D003C4A31086}"/>
    <cellStyle name="Linked Cell 2 29" xfId="1464" xr:uid="{A0CBDC78-AE9C-46AC-9AF6-AB7601447B4D}"/>
    <cellStyle name="Linked Cell 2 3" xfId="1465" xr:uid="{75694741-C87E-4061-9CDA-0E41A2855CED}"/>
    <cellStyle name="Linked Cell 2 30" xfId="1466" xr:uid="{E5605183-B574-4486-BDDE-5B180B30E7F9}"/>
    <cellStyle name="Linked Cell 2 31" xfId="1467" xr:uid="{8C72E138-E9C9-4323-B608-48A8010043A4}"/>
    <cellStyle name="Linked Cell 2 32" xfId="1468" xr:uid="{C42E3069-B414-4329-95EB-F5EE9D0A9BE7}"/>
    <cellStyle name="Linked Cell 2 33" xfId="1469" xr:uid="{2714E381-E72B-43E9-8892-257893BD37FF}"/>
    <cellStyle name="Linked Cell 2 34" xfId="1470" xr:uid="{3D5CD358-DE1A-4074-882D-3F07B76B066C}"/>
    <cellStyle name="Linked Cell 2 35" xfId="1471" xr:uid="{B08CEE28-8387-4513-827F-B8361B291431}"/>
    <cellStyle name="Linked Cell 2 36" xfId="1472" xr:uid="{04E6DF11-7914-47D6-8DEE-B9AFC9044FA2}"/>
    <cellStyle name="Linked Cell 2 37" xfId="1473" xr:uid="{4C3665CC-A3B5-431E-A025-71526B51640B}"/>
    <cellStyle name="Linked Cell 2 38" xfId="1474" xr:uid="{AB372B3F-6CD5-4E2C-A190-5EB5E908D244}"/>
    <cellStyle name="Linked Cell 2 39" xfId="1475" xr:uid="{9EC729C4-9222-487A-84E1-9E36AC508114}"/>
    <cellStyle name="Linked Cell 2 4" xfId="1476" xr:uid="{EFBBD6BD-B33A-4D27-BADA-6DEA05E99224}"/>
    <cellStyle name="Linked Cell 2 40" xfId="1477" xr:uid="{1B8DF3F2-237B-4315-87EF-EC40B7CD8128}"/>
    <cellStyle name="Linked Cell 2 41" xfId="1478" xr:uid="{68EFAFCC-ADC0-48E3-838B-119C0623AE76}"/>
    <cellStyle name="Linked Cell 2 42" xfId="1479" xr:uid="{2AFA2D8A-17F8-4AB3-B31B-B591EE2200E3}"/>
    <cellStyle name="Linked Cell 2 43" xfId="1480" xr:uid="{8DCC1179-05CF-4913-AB0F-63EF0A734A71}"/>
    <cellStyle name="Linked Cell 2 44" xfId="1481" xr:uid="{2DBF2B0E-5363-41DD-9617-7008B3C45904}"/>
    <cellStyle name="Linked Cell 2 45" xfId="1482" xr:uid="{C358CE31-42D3-476A-B0A9-C09AE0E86DB4}"/>
    <cellStyle name="Linked Cell 2 46" xfId="1483" xr:uid="{F367537D-AFE4-44BD-9A46-7674FA60D30C}"/>
    <cellStyle name="Linked Cell 2 47" xfId="1484" xr:uid="{9441A819-7D6F-42E2-B3C5-A32D9300AABA}"/>
    <cellStyle name="Linked Cell 2 48" xfId="1485" xr:uid="{1FE5CFA3-1470-44C3-AC96-9E55A92CA50E}"/>
    <cellStyle name="Linked Cell 2 49" xfId="1486" xr:uid="{9995103E-849C-47D3-A452-3B0ADF239B5B}"/>
    <cellStyle name="Linked Cell 2 49 2" xfId="1487" xr:uid="{93B6FA83-3E26-4557-BC46-6857F1212BC5}"/>
    <cellStyle name="Linked Cell 2 5" xfId="1488" xr:uid="{598E917F-4BE6-455C-8200-9A89847F7F2B}"/>
    <cellStyle name="Linked Cell 2 50" xfId="1489" xr:uid="{553B09A7-88F9-4D03-8CAA-DEDBDE3F9CAF}"/>
    <cellStyle name="Linked Cell 2 50 2" xfId="1490" xr:uid="{89B83045-EED0-49CB-AC31-FC56953B9BF7}"/>
    <cellStyle name="Linked Cell 2 6" xfId="1491" xr:uid="{E41D69D2-4EA8-4DA1-AB7F-0E2FCBDB7A4D}"/>
    <cellStyle name="Linked Cell 2 7" xfId="1492" xr:uid="{DDCAF1EB-695A-4CB9-8D3A-7A1D1498D98E}"/>
    <cellStyle name="Linked Cell 2 8" xfId="1493" xr:uid="{50317BC3-2E26-4933-BCF5-1EC8550A4017}"/>
    <cellStyle name="Linked Cell 2 9" xfId="1494" xr:uid="{93152EBF-49A5-4A51-86CF-FD600B1D08B6}"/>
    <cellStyle name="Neutral 2" xfId="1495" xr:uid="{242E492A-29DB-4D43-895F-BC12B12E0316}"/>
    <cellStyle name="Neutral 2 10" xfId="1496" xr:uid="{DFC1E6E4-1492-41E4-A715-FBD16A4B2333}"/>
    <cellStyle name="Neutral 2 11" xfId="1497" xr:uid="{8F13F752-8D41-4637-BB63-E1E3106C4694}"/>
    <cellStyle name="Neutral 2 12" xfId="1498" xr:uid="{E55F0606-FB10-478E-88D8-8B26905202B1}"/>
    <cellStyle name="Neutral 2 13" xfId="1499" xr:uid="{288DA9FA-8FBA-4870-BA8B-838E778A3A8B}"/>
    <cellStyle name="Neutral 2 14" xfId="1500" xr:uid="{FC571AC1-B13B-48D7-8CC7-FD2569AA1C8A}"/>
    <cellStyle name="Neutral 2 15" xfId="1501" xr:uid="{36151BC1-75DE-41C3-93E4-C58F1D23BDBE}"/>
    <cellStyle name="Neutral 2 16" xfId="1502" xr:uid="{D7D7428B-F554-43FB-983F-DAE65FECE686}"/>
    <cellStyle name="Neutral 2 17" xfId="1503" xr:uid="{48CBD62E-FE70-4B54-A45D-5FB1D70DE664}"/>
    <cellStyle name="Neutral 2 18" xfId="1504" xr:uid="{6A4768CD-AFAE-4B37-9D94-E4DF25D862F6}"/>
    <cellStyle name="Neutral 2 19" xfId="1505" xr:uid="{8F240FC2-A279-4C16-8F5A-0AEBAE23D353}"/>
    <cellStyle name="Neutral 2 2" xfId="1506" xr:uid="{EE22AB2C-0342-4A37-99B6-978106A71386}"/>
    <cellStyle name="Neutral 2 20" xfId="1507" xr:uid="{15575DBB-4C4E-4D7D-8784-2B17CBBF7CB2}"/>
    <cellStyle name="Neutral 2 21" xfId="1508" xr:uid="{E8A7AD02-9ACD-4623-AADE-DEC84048AD19}"/>
    <cellStyle name="Neutral 2 22" xfId="1509" xr:uid="{080AB1BF-3C2F-446B-8985-E5DCD8A4F18E}"/>
    <cellStyle name="Neutral 2 23" xfId="1510" xr:uid="{59B1F447-5486-415D-8618-6C05E2ABD885}"/>
    <cellStyle name="Neutral 2 24" xfId="1511" xr:uid="{72CFEEAC-DFD8-435D-ADFC-5362CC7607C4}"/>
    <cellStyle name="Neutral 2 25" xfId="1512" xr:uid="{C34D7851-431E-4FB9-BA3F-69662558A4BD}"/>
    <cellStyle name="Neutral 2 26" xfId="1513" xr:uid="{EDF63DCE-D774-4234-BFEE-241B61752729}"/>
    <cellStyle name="Neutral 2 27" xfId="1514" xr:uid="{7FBC449D-9354-42CD-A5BF-96834503B4C0}"/>
    <cellStyle name="Neutral 2 28" xfId="1515" xr:uid="{C66444AB-3B02-4AEB-898A-D4E555A52990}"/>
    <cellStyle name="Neutral 2 29" xfId="1516" xr:uid="{FDE41E92-3A22-4BB4-AC83-D5F5856C04AE}"/>
    <cellStyle name="Neutral 2 3" xfId="1517" xr:uid="{68A4F7BC-0CDA-4E70-9678-EF11ED5DF3EB}"/>
    <cellStyle name="Neutral 2 30" xfId="1518" xr:uid="{9021AB13-4900-4101-B978-D3382CF5DA38}"/>
    <cellStyle name="Neutral 2 31" xfId="1519" xr:uid="{CCD0F8D3-A85C-4E9B-9082-8672CA6E1116}"/>
    <cellStyle name="Neutral 2 32" xfId="1520" xr:uid="{D1BB8EDF-3C63-415C-9DBB-6FCDD421B7B7}"/>
    <cellStyle name="Neutral 2 33" xfId="1521" xr:uid="{F513C67F-EFC3-432A-A866-A0DF9D244414}"/>
    <cellStyle name="Neutral 2 34" xfId="1522" xr:uid="{F9534D35-533A-42DD-BB45-A3A63C55877D}"/>
    <cellStyle name="Neutral 2 35" xfId="1523" xr:uid="{D3ED71B5-0241-49EF-81DF-5F30631D08DF}"/>
    <cellStyle name="Neutral 2 36" xfId="1524" xr:uid="{67A93099-378A-465C-AF11-FBD88CC6EECF}"/>
    <cellStyle name="Neutral 2 37" xfId="1525" xr:uid="{D6BD20F6-668D-4ADC-A80A-7B859C28E8B9}"/>
    <cellStyle name="Neutral 2 38" xfId="1526" xr:uid="{66B7F45D-1BDC-4DD0-9C76-E0879DE35771}"/>
    <cellStyle name="Neutral 2 39" xfId="1527" xr:uid="{015C9C63-4B99-413B-BF31-0853A19DEFD7}"/>
    <cellStyle name="Neutral 2 4" xfId="1528" xr:uid="{59234AC2-17DD-4F2B-A1EE-B5A9BB3F62CB}"/>
    <cellStyle name="Neutral 2 40" xfId="1529" xr:uid="{8C3565A2-46B2-4956-9E31-D8AB524E5D7B}"/>
    <cellStyle name="Neutral 2 41" xfId="1530" xr:uid="{24D90378-B2D2-4B5B-901B-69CAB7A8888F}"/>
    <cellStyle name="Neutral 2 42" xfId="1531" xr:uid="{FD35598B-507E-4432-811A-A2A8394EDEFF}"/>
    <cellStyle name="Neutral 2 43" xfId="1532" xr:uid="{F389EA38-7890-4DA1-990C-0404853922F9}"/>
    <cellStyle name="Neutral 2 44" xfId="1533" xr:uid="{15F1A172-951E-4AA8-BC90-703A9702977F}"/>
    <cellStyle name="Neutral 2 45" xfId="1534" xr:uid="{78807EAD-7DCA-48AE-9AD1-99FA044DAF4B}"/>
    <cellStyle name="Neutral 2 46" xfId="1535" xr:uid="{2097F61C-3610-42C2-9DD1-80E6120449B5}"/>
    <cellStyle name="Neutral 2 47" xfId="1536" xr:uid="{920ABD4E-871B-4FA8-A3E8-F1217E4CCDD0}"/>
    <cellStyle name="Neutral 2 48" xfId="1537" xr:uid="{407DCD11-F821-453E-A22D-25236421562D}"/>
    <cellStyle name="Neutral 2 49" xfId="1538" xr:uid="{C07A4CE3-75B1-4C2C-895D-88DF058C7BAA}"/>
    <cellStyle name="Neutral 2 5" xfId="1539" xr:uid="{0288F470-EFA2-45B3-B182-F9D14A14F574}"/>
    <cellStyle name="Neutral 2 6" xfId="1540" xr:uid="{229FE73D-71BA-4C06-879D-C1754A3C7045}"/>
    <cellStyle name="Neutral 2 7" xfId="1541" xr:uid="{6E7E315A-F4DA-49F2-B9A7-2596EBDED0FC}"/>
    <cellStyle name="Neutral 2 8" xfId="1542" xr:uid="{D29C6D31-5449-41F5-BD14-D8A7AC463CCB}"/>
    <cellStyle name="Neutral 2 9" xfId="1543" xr:uid="{66F0B9C0-1E28-4954-825B-34197BC0A33B}"/>
    <cellStyle name="Normal" xfId="0" builtinId="0"/>
    <cellStyle name="Normal 10" xfId="2" xr:uid="{00000000-0005-0000-0000-000001000000}"/>
    <cellStyle name="Normal 10 2" xfId="1544" xr:uid="{CBA0FF38-4C81-4458-A46B-B7EF255462DA}"/>
    <cellStyle name="Normal 100" xfId="1545" xr:uid="{56F402A6-B992-41D7-B5E0-19ABD44ED26C}"/>
    <cellStyle name="Normal 100 2" xfId="1546" xr:uid="{F554D47A-8D2D-409D-ABB7-AAD4494B2620}"/>
    <cellStyle name="Normal 101" xfId="1547" xr:uid="{6ABAE2D3-BF9C-42BC-B5D4-6339A857BA53}"/>
    <cellStyle name="Normal 101 2" xfId="1548" xr:uid="{9501CB70-C971-4358-9CC8-9E03B1058DD6}"/>
    <cellStyle name="Normal 102" xfId="1549" xr:uid="{697D51EC-EDF8-4F5E-A8AA-91A24D415221}"/>
    <cellStyle name="Normal 102 2" xfId="1550" xr:uid="{8A2D7851-38CE-4003-BEB4-71E995C40F09}"/>
    <cellStyle name="Normal 103" xfId="1551" xr:uid="{CAA2A2E7-B839-457C-ACF3-C8B4068D6AF6}"/>
    <cellStyle name="Normal 103 2" xfId="1552" xr:uid="{FE0127C9-C238-4373-BEF3-D076F5B6140E}"/>
    <cellStyle name="Normal 104" xfId="1553" xr:uid="{A01D9295-E4B7-40C9-B38B-5BC8687F2248}"/>
    <cellStyle name="Normal 105" xfId="1554" xr:uid="{77655619-0780-40BE-9B8F-9EE871A23961}"/>
    <cellStyle name="Normal 105 2" xfId="1555" xr:uid="{7A65B818-DDAF-435C-BBDF-49827C8D95C4}"/>
    <cellStyle name="Normal 106" xfId="1556" xr:uid="{79F00140-C732-438F-AA36-6835B4ED2CF6}"/>
    <cellStyle name="Normal 106 2" xfId="1557" xr:uid="{12002D08-A60B-4351-BA70-23BB3F84A240}"/>
    <cellStyle name="Normal 107" xfId="1558" xr:uid="{83EBD87E-66AD-4BAF-B6E4-8CC33743586E}"/>
    <cellStyle name="Normal 107 2" xfId="1559" xr:uid="{E76DE242-122A-4EDF-8027-D1A8586E680C}"/>
    <cellStyle name="Normal 108" xfId="1560" xr:uid="{24F8FC57-9E0C-4FCE-AA76-9220A103B316}"/>
    <cellStyle name="Normal 108 2" xfId="1561" xr:uid="{6112B531-2CCE-435F-966C-A4053827A23D}"/>
    <cellStyle name="Normal 109" xfId="1562" xr:uid="{56DD4B94-FBE4-463D-B44C-B6EB5F43FCBF}"/>
    <cellStyle name="Normal 109 2" xfId="1563" xr:uid="{6BC64B7B-58AE-4144-8CF5-DDE73FBEA8EC}"/>
    <cellStyle name="Normal 11" xfId="1564" xr:uid="{FF438EDD-B71D-45B6-ACBA-CD2B99B084DA}"/>
    <cellStyle name="Normal 11 2" xfId="1565" xr:uid="{B49446DD-0FBC-4DC8-820A-E7C01A894579}"/>
    <cellStyle name="Normal 110" xfId="1566" xr:uid="{0CB5D397-31A9-4B58-B2C2-F2BA5FC527F2}"/>
    <cellStyle name="Normal 110 2" xfId="1567" xr:uid="{9C7FB58D-3CF0-4880-89C2-9FDE83346CFE}"/>
    <cellStyle name="Normal 111" xfId="1568" xr:uid="{C5CD0F6E-F3A5-422F-90B6-FAC92F57D2D2}"/>
    <cellStyle name="Normal 111 2" xfId="1569" xr:uid="{E0ED9AD4-DD97-4532-A2DA-894A86E69910}"/>
    <cellStyle name="Normal 112" xfId="1570" xr:uid="{5A8D916B-2A35-4254-9313-CDF8F6E1F66A}"/>
    <cellStyle name="Normal 112 2" xfId="1571" xr:uid="{E4D7BAFE-5948-441F-B78E-35624E854184}"/>
    <cellStyle name="Normal 113" xfId="1572" xr:uid="{574BD95F-71B4-4426-BFAD-5983C7E1F37B}"/>
    <cellStyle name="Normal 113 2" xfId="1573" xr:uid="{4D5C32A4-5982-46DB-A63F-DF555E8C9A02}"/>
    <cellStyle name="Normal 114" xfId="1574" xr:uid="{088A7255-8A4A-44BA-BDCD-8941504959D9}"/>
    <cellStyle name="Normal 114 2" xfId="1575" xr:uid="{93BEEAB4-420D-4A56-83F2-DA9BAE45F2BE}"/>
    <cellStyle name="Normal 115" xfId="1576" xr:uid="{9C6DD3B7-C298-4BA9-AFFF-D6433F358563}"/>
    <cellStyle name="Normal 115 2" xfId="1577" xr:uid="{C5E7C692-9C65-414C-BCBC-CE6BD6C67833}"/>
    <cellStyle name="Normal 116" xfId="1578" xr:uid="{ACF91362-D94E-4361-ADB8-AED17CE2D52A}"/>
    <cellStyle name="Normal 116 2" xfId="1579" xr:uid="{862C805E-649F-4996-BF5F-E21BDFC69A85}"/>
    <cellStyle name="Normal 117" xfId="1580" xr:uid="{CD641618-0A7E-46C5-BFC8-9C060A291830}"/>
    <cellStyle name="Normal 117 2" xfId="1581" xr:uid="{5583ACEE-8DE4-4502-9CA2-F2A0D411CE54}"/>
    <cellStyle name="Normal 118" xfId="1582" xr:uid="{8CF7BFE4-A4A1-4ADD-A6C7-A3D655570A05}"/>
    <cellStyle name="Normal 118 2" xfId="1583" xr:uid="{88D73CCD-EBB5-423D-9358-7806B9BE63C6}"/>
    <cellStyle name="Normal 119" xfId="1584" xr:uid="{5E94C34D-B430-4E53-843D-8EA0D8A4F050}"/>
    <cellStyle name="Normal 12" xfId="1585" xr:uid="{DD15B542-C7F8-461A-B602-23A6F5E53D6E}"/>
    <cellStyle name="Normal 12 2" xfId="1586" xr:uid="{3562DB29-AFBA-4CAC-91E0-6CE450283604}"/>
    <cellStyle name="Normal 120" xfId="9" xr:uid="{189B6BFD-DB05-4E61-B17F-985A61E19DEB}"/>
    <cellStyle name="Normal 13" xfId="1587" xr:uid="{5B8DF39E-ED7A-4E2B-BFAB-5701544459D4}"/>
    <cellStyle name="Normal 13 2" xfId="1588" xr:uid="{C9738EF4-3D99-45A5-AB77-D98E2BB2F157}"/>
    <cellStyle name="Normal 13 3" xfId="1589" xr:uid="{6E0339A8-8D85-421B-842F-B86179131E95}"/>
    <cellStyle name="Normal 14" xfId="1590" xr:uid="{F1CC0AE7-B993-4C5C-89E5-852B28251D9C}"/>
    <cellStyle name="Normal 14 2" xfId="1591" xr:uid="{BE0005E5-9A83-4E0D-B318-A85B4D07BA90}"/>
    <cellStyle name="Normal 15" xfId="1592" xr:uid="{2D17F3D7-D4BD-43F7-8D39-641DAA29DD6F}"/>
    <cellStyle name="Normal 15 2" xfId="1593" xr:uid="{8E51E6A7-2EF6-4A90-8135-272E60ABD8EF}"/>
    <cellStyle name="Normal 16" xfId="1594" xr:uid="{57AA985D-AF52-4C2B-9903-FE8EC32FD8B3}"/>
    <cellStyle name="Normal 16 2" xfId="1595" xr:uid="{5E822676-17D2-4079-888B-4631C3C4B836}"/>
    <cellStyle name="Normal 17" xfId="1596" xr:uid="{660F0A18-A868-4A75-B8D6-5E5F519A7C8D}"/>
    <cellStyle name="Normal 17 2" xfId="1597" xr:uid="{CD91FFC0-CBFC-4D7C-BFF9-1C69717C168D}"/>
    <cellStyle name="Normal 18" xfId="1598" xr:uid="{0982FBA1-9635-4AB1-921F-3D734391028A}"/>
    <cellStyle name="Normal 18 2" xfId="1599" xr:uid="{B6A0C4AC-A0EF-49A6-B9B8-257DD7B0A526}"/>
    <cellStyle name="Normal 19" xfId="1600" xr:uid="{F7793215-B315-4978-B09B-19E7566AB461}"/>
    <cellStyle name="Normal 19 2" xfId="1601" xr:uid="{ABE29EFB-417B-4A5C-878E-338CAAF70666}"/>
    <cellStyle name="Normal 2" xfId="1" xr:uid="{00000000-0005-0000-0000-000002000000}"/>
    <cellStyle name="Normal 2 10" xfId="1602" xr:uid="{C2368F6B-D0EC-4494-920B-8C39DA5784E8}"/>
    <cellStyle name="Normal 2 11" xfId="1603" xr:uid="{B0AEF498-C6D3-4FF4-AF7E-DCAA037F458A}"/>
    <cellStyle name="Normal 2 12" xfId="1604" xr:uid="{AF141861-498A-4CC4-BC80-CC1769C1DE8F}"/>
    <cellStyle name="Normal 2 13" xfId="1605" xr:uid="{59063634-DF9E-4180-A070-C87A23781D8C}"/>
    <cellStyle name="Normal 2 14" xfId="1606" xr:uid="{FAA59479-FFCB-45AD-ADD0-3560B0A22340}"/>
    <cellStyle name="Normal 2 15" xfId="1607" xr:uid="{F8940B45-3FCD-42FA-94F8-B0827E6E003E}"/>
    <cellStyle name="Normal 2 16" xfId="1608" xr:uid="{89A3A1F1-8328-462E-AA9C-705B646066B7}"/>
    <cellStyle name="Normal 2 17" xfId="1609" xr:uid="{1F3A8C31-28CF-4F25-87B1-1FA1CD7E033C}"/>
    <cellStyle name="Normal 2 18" xfId="1610" xr:uid="{3DFF0225-010F-4956-9E39-C39ACCB3F303}"/>
    <cellStyle name="Normal 2 19" xfId="1611" xr:uid="{6237E95D-D692-463F-A3AF-A4D852D988B7}"/>
    <cellStyle name="Normal 2 2" xfId="1612" xr:uid="{085441E8-F98F-4B51-A434-CD305239752F}"/>
    <cellStyle name="Normal 2 20" xfId="1613" xr:uid="{977D8EDA-F8C4-4954-8279-100F697DBAC1}"/>
    <cellStyle name="Normal 2 21" xfId="1614" xr:uid="{5913BF04-4DFE-4D49-AC87-13655A8F69BA}"/>
    <cellStyle name="Normal 2 22" xfId="1615" xr:uid="{7345E26D-7937-4A59-8241-F5F03A829355}"/>
    <cellStyle name="Normal 2 23" xfId="1997" xr:uid="{B0D4119C-AB50-44FA-9CC8-A943C3A7A08A}"/>
    <cellStyle name="Normal 2 3" xfId="1616" xr:uid="{F7E85A8D-B96B-497A-B622-84A3F0622B22}"/>
    <cellStyle name="Normal 2 4" xfId="1617" xr:uid="{BB032E6E-7C82-43C8-9D79-C407FF2C78C8}"/>
    <cellStyle name="Normal 2 5" xfId="1618" xr:uid="{D9C42F20-C39C-4EFB-939C-9A4B62216004}"/>
    <cellStyle name="Normal 2 6" xfId="1619" xr:uid="{20E379B4-9C3C-4E31-8B8D-77FF5189D4B5}"/>
    <cellStyle name="Normal 2 7" xfId="1620" xr:uid="{3B55CC33-F454-4D7D-AD7B-630B0673D8E6}"/>
    <cellStyle name="Normal 2 8" xfId="1621" xr:uid="{CB076C4D-8EBF-481D-9801-75FA409112E0}"/>
    <cellStyle name="Normal 2 9" xfId="1622" xr:uid="{06A24847-FAF1-4AD7-B902-99F6A35D9A48}"/>
    <cellStyle name="Normal 20" xfId="1623" xr:uid="{1A6AFFFD-AF65-4CBC-85FD-FE9DBA15B15C}"/>
    <cellStyle name="Normal 20 2" xfId="1624" xr:uid="{10B24D55-886F-4E6A-B0A8-95680C04CD55}"/>
    <cellStyle name="Normal 21" xfId="1625" xr:uid="{25AA773C-0C72-4B8E-82FC-B2351BA50456}"/>
    <cellStyle name="Normal 21 2" xfId="1626" xr:uid="{15AF60A8-F4FB-47F8-9324-DAE73DB1272C}"/>
    <cellStyle name="Normal 22" xfId="1627" xr:uid="{85ACDB19-4D59-40A6-A537-97E85AFE3D1B}"/>
    <cellStyle name="Normal 22 2" xfId="1628" xr:uid="{12339D0A-3D02-4C9B-B209-06C0BC09BD9C}"/>
    <cellStyle name="Normal 23" xfId="1629" xr:uid="{E3370A5B-849A-435A-ABA3-4FF496B42706}"/>
    <cellStyle name="Normal 23 2" xfId="1630" xr:uid="{4E590D91-0EA0-47BD-A223-02E464772A7C}"/>
    <cellStyle name="Normal 24" xfId="1631" xr:uid="{04D9FC61-9889-4704-9A0F-C8EE8489948D}"/>
    <cellStyle name="Normal 24 2" xfId="1632" xr:uid="{29613709-6417-49E5-9D4A-71C0C65D1F63}"/>
    <cellStyle name="Normal 25" xfId="1633" xr:uid="{27BE7498-1FDB-4974-98F5-1D1393F5C5E0}"/>
    <cellStyle name="Normal 25 2" xfId="1634" xr:uid="{0134C2CC-BE61-4959-8758-ACF4DD26AE67}"/>
    <cellStyle name="Normal 26" xfId="1635" xr:uid="{379D33AA-1377-409A-A290-5BD48D197A26}"/>
    <cellStyle name="Normal 26 2" xfId="1636" xr:uid="{704E9959-D53C-4258-A04B-21A922ABD107}"/>
    <cellStyle name="Normal 27" xfId="1637" xr:uid="{76E9463D-33CD-45F0-B2CA-E510115ABB0C}"/>
    <cellStyle name="Normal 27 2" xfId="1638" xr:uid="{66040FB3-DE15-4568-984A-46F69977134B}"/>
    <cellStyle name="Normal 28" xfId="1639" xr:uid="{1EEED73F-5CA9-4F89-BF68-1DF062A909E8}"/>
    <cellStyle name="Normal 28 2" xfId="1640" xr:uid="{CD70D3D2-D005-4CDE-9113-2FBC039158A2}"/>
    <cellStyle name="Normal 29" xfId="1641" xr:uid="{0E79B281-A0F2-4FF8-963A-7CB5FD9AAF97}"/>
    <cellStyle name="Normal 29 2" xfId="1642" xr:uid="{7214A2F7-5914-40C2-9873-E9BE7A7A78DA}"/>
    <cellStyle name="Normal 3" xfId="1643" xr:uid="{DCE7A779-9524-44B4-A566-04665BCFEF2D}"/>
    <cellStyle name="Normal 3 2" xfId="1644" xr:uid="{35DE501A-D433-427B-AE0C-0BFE27D8266A}"/>
    <cellStyle name="Normal 30" xfId="1645" xr:uid="{D6CF1AD3-9645-494D-ACF0-9D2C36E6585F}"/>
    <cellStyle name="Normal 30 2" xfId="1646" xr:uid="{CB1656E6-3B0B-463D-81B3-A25F66AA6711}"/>
    <cellStyle name="Normal 31" xfId="1647" xr:uid="{6EAF5FCF-41FA-43B6-9C13-037DAE60EFF9}"/>
    <cellStyle name="Normal 31 2" xfId="1648" xr:uid="{2A901849-098C-44DF-90D7-1929953E6DF7}"/>
    <cellStyle name="Normal 32" xfId="1649" xr:uid="{689E098B-AD8B-4435-A849-AAA338A27657}"/>
    <cellStyle name="Normal 32 2" xfId="1650" xr:uid="{91EA127C-A815-4903-94A0-55B3D71E611B}"/>
    <cellStyle name="Normal 33" xfId="1651" xr:uid="{96B1C7D1-C8FE-48BC-9806-180A6950808E}"/>
    <cellStyle name="Normal 33 2" xfId="1652" xr:uid="{49CA87B5-CEA3-4DC0-9AEA-9E9463FDC3FA}"/>
    <cellStyle name="Normal 34" xfId="1653" xr:uid="{0F8667E4-C544-4D66-9173-DA7E4E911C5E}"/>
    <cellStyle name="Normal 34 2" xfId="1654" xr:uid="{D5BE257D-007E-4BE3-A063-CBF3C617000C}"/>
    <cellStyle name="Normal 35" xfId="1655" xr:uid="{61AE201B-5093-4EAA-9915-EA582A6A0AB3}"/>
    <cellStyle name="Normal 35 2" xfId="1656" xr:uid="{A340F2AF-147F-4854-8F49-5643E9D1256B}"/>
    <cellStyle name="Normal 36" xfId="1657" xr:uid="{9BD75695-AB4D-48FC-9281-335250875E40}"/>
    <cellStyle name="Normal 36 2" xfId="1658" xr:uid="{616899E5-46CB-40AB-AA82-883D499569FB}"/>
    <cellStyle name="Normal 37" xfId="1659" xr:uid="{218EBD52-81FD-44C8-9E2F-54A43F1550F2}"/>
    <cellStyle name="Normal 37 2" xfId="1660" xr:uid="{60E25099-4BC8-4AD5-B3C4-89EAD53B6C43}"/>
    <cellStyle name="Normal 38" xfId="1661" xr:uid="{9AD9CFE2-6DB3-41DE-B95F-8FD5A26F1758}"/>
    <cellStyle name="Normal 38 2" xfId="1662" xr:uid="{DD6791B2-9323-4A3C-A380-6DBDD470E783}"/>
    <cellStyle name="Normal 39" xfId="1663" xr:uid="{91A8038D-2F0F-46C9-994A-F6F49625A70F}"/>
    <cellStyle name="Normal 39 2" xfId="1664" xr:uid="{78766400-DCDE-46C6-966F-8E9DC389AD6B}"/>
    <cellStyle name="Normal 4" xfId="1665" xr:uid="{E8563025-364E-4458-BFC7-E19DFD95DAB2}"/>
    <cellStyle name="Normal 4 2" xfId="1666" xr:uid="{F6009E0B-C142-4340-8AB1-C480D9FACF44}"/>
    <cellStyle name="Normal 40" xfId="1667" xr:uid="{48FF18A0-5845-4C51-9F4A-BCB903B51E4E}"/>
    <cellStyle name="Normal 40 2" xfId="1668" xr:uid="{F5827D4B-73C7-401D-ACCB-8A82DA17D944}"/>
    <cellStyle name="Normal 41" xfId="1669" xr:uid="{0C9F38CC-7E17-4373-8BE6-82D1D77E8FE4}"/>
    <cellStyle name="Normal 41 2" xfId="1670" xr:uid="{F9C27761-DE2C-4710-9CEF-E50D068603F6}"/>
    <cellStyle name="Normal 42" xfId="1671" xr:uid="{39CC367F-BD5C-458C-A10A-A053429EE546}"/>
    <cellStyle name="Normal 42 2" xfId="1672" xr:uid="{5C779296-C177-4BA4-B0B7-A75B83273A0A}"/>
    <cellStyle name="Normal 43" xfId="1673" xr:uid="{206CDC63-2F82-4B45-9629-0AB3DB9A09C4}"/>
    <cellStyle name="Normal 43 2" xfId="1674" xr:uid="{9300F293-51E0-44CD-928E-529F72870368}"/>
    <cellStyle name="Normal 44" xfId="1675" xr:uid="{4E4E92BE-A184-42AE-88B7-C34B0A7520E7}"/>
    <cellStyle name="Normal 44 2" xfId="1676" xr:uid="{2CC7D8A1-4C4E-413F-948B-ADADA83C7DDD}"/>
    <cellStyle name="Normal 45" xfId="1677" xr:uid="{4CCA4C32-81E9-42C9-98B7-1B33453755AE}"/>
    <cellStyle name="Normal 45 2" xfId="1678" xr:uid="{EBD8703A-D2D3-4EAE-89DD-D17A53AB6A80}"/>
    <cellStyle name="Normal 46" xfId="1679" xr:uid="{A882C2C6-391E-424F-BA92-8E6515BEF309}"/>
    <cellStyle name="Normal 46 2" xfId="1680" xr:uid="{B9A45ACB-AD18-46C7-A4D3-F075C319EA00}"/>
    <cellStyle name="Normal 47" xfId="1681" xr:uid="{21B46204-3142-4DE7-BDE8-A00E1172F8AD}"/>
    <cellStyle name="Normal 47 2" xfId="1682" xr:uid="{448AE38C-B385-4038-BF53-B4BD536EA5B0}"/>
    <cellStyle name="Normal 48" xfId="1683" xr:uid="{39973C1C-269F-4572-BF3E-A576A0A00556}"/>
    <cellStyle name="Normal 48 2" xfId="1684" xr:uid="{3C433389-1719-42EA-B901-8AFEEB3CED58}"/>
    <cellStyle name="Normal 49" xfId="1685" xr:uid="{B254E0AC-D19D-404C-9ADB-B87A6B407402}"/>
    <cellStyle name="Normal 49 2" xfId="1686" xr:uid="{1A1C6A44-43D8-4D99-9DBB-E02CE4B27F26}"/>
    <cellStyle name="Normal 5" xfId="1687" xr:uid="{6FB22589-F16F-4EFB-9333-34361C0608A1}"/>
    <cellStyle name="Normal 5 2" xfId="1688" xr:uid="{62810706-32B6-48A2-A935-4EF51C2FFACE}"/>
    <cellStyle name="Normal 50" xfId="1689" xr:uid="{C6B58021-2465-4ABD-9C85-97FA1E315A99}"/>
    <cellStyle name="Normal 50 2" xfId="1690" xr:uid="{A067DC4A-02FC-4238-8C36-4D907F697FEC}"/>
    <cellStyle name="Normal 51" xfId="1691" xr:uid="{59B4ADA2-74C4-4DA5-BBDC-5530B37EE560}"/>
    <cellStyle name="Normal 51 2" xfId="1692" xr:uid="{284001E5-30C3-44BF-9A8F-7B4D0F64117A}"/>
    <cellStyle name="Normal 52" xfId="1693" xr:uid="{F7E97110-2F97-4692-BBE3-E7B96491177C}"/>
    <cellStyle name="Normal 52 2" xfId="1694" xr:uid="{E034C022-79A5-41FF-AAC8-28696BCEC421}"/>
    <cellStyle name="Normal 53" xfId="1695" xr:uid="{88BC3EAE-7AA0-4157-9865-10BE2816E2AD}"/>
    <cellStyle name="Normal 53 2" xfId="1696" xr:uid="{EE20B800-7C7D-42E8-9766-F39D61AA343E}"/>
    <cellStyle name="Normal 54" xfId="1697" xr:uid="{0454EDF6-1C69-4251-A39E-D8DEA6C5ED33}"/>
    <cellStyle name="Normal 54 2" xfId="1698" xr:uid="{860DC4CB-7D56-49C9-95D2-CC3C5086A466}"/>
    <cellStyle name="Normal 55" xfId="1699" xr:uid="{A6297D8A-F4E8-40C4-8DD8-95B447FE200D}"/>
    <cellStyle name="Normal 55 2" xfId="1700" xr:uid="{17719B74-80DE-4E1C-994B-109A4B602FE1}"/>
    <cellStyle name="Normal 56" xfId="1701" xr:uid="{7F36CB6F-333E-41E8-8452-69F2000E4B34}"/>
    <cellStyle name="Normal 56 2" xfId="1702" xr:uid="{8DA3B37B-96D0-41E6-BEB3-5CDB4BF0FB25}"/>
    <cellStyle name="Normal 57" xfId="1703" xr:uid="{133D465E-6686-4522-9E01-46A21640266F}"/>
    <cellStyle name="Normal 57 2" xfId="1704" xr:uid="{81F61B44-6FAD-475E-AB1F-8D074BE86760}"/>
    <cellStyle name="Normal 58" xfId="1705" xr:uid="{BEE14FD0-F8CB-49F5-B94F-D79A76296995}"/>
    <cellStyle name="Normal 58 2" xfId="1706" xr:uid="{F0192A96-1402-4B6F-AE5E-27CC542F3739}"/>
    <cellStyle name="Normal 59" xfId="1707" xr:uid="{12AF1F2E-55FE-40E4-834D-C529EF774964}"/>
    <cellStyle name="Normal 59 2" xfId="1708" xr:uid="{410F8D73-52D0-41F9-9A22-ABEE39D21ACC}"/>
    <cellStyle name="Normal 6" xfId="1709" xr:uid="{F26FBDA9-8B6E-4A6B-BBFB-BF3C1938DF1B}"/>
    <cellStyle name="Normal 6 2" xfId="1710" xr:uid="{3CA4E89C-2AC2-461B-B8C1-B8DB5B39212F}"/>
    <cellStyle name="Normal 60" xfId="1711" xr:uid="{379543CC-084F-44C0-BA10-9FD753B5E27F}"/>
    <cellStyle name="Normal 60 2" xfId="1712" xr:uid="{BF514557-CC56-4B36-8506-B2EE758A02C5}"/>
    <cellStyle name="Normal 61" xfId="1713" xr:uid="{BF6FEFF8-3787-4525-8B17-C4CD3370E457}"/>
    <cellStyle name="Normal 61 2" xfId="1714" xr:uid="{F0F93674-0D15-428B-A99E-B58E83A26719}"/>
    <cellStyle name="Normal 62" xfId="1715" xr:uid="{C7E0522C-6135-45E3-8195-D3755860CC2A}"/>
    <cellStyle name="Normal 62 2" xfId="1716" xr:uid="{89EA2519-630E-431C-8F48-EA7B18F06D6B}"/>
    <cellStyle name="Normal 63" xfId="1717" xr:uid="{D1177D3E-4EBE-4383-B40E-BE578AE99AD5}"/>
    <cellStyle name="Normal 63 2" xfId="1718" xr:uid="{6FE97899-9F1A-486A-B655-8804A7CC7764}"/>
    <cellStyle name="Normal 64" xfId="1719" xr:uid="{1CF2717D-1013-48B4-A2F0-85C653451009}"/>
    <cellStyle name="Normal 64 2" xfId="1720" xr:uid="{7A2C8390-9994-42DD-909D-899443560193}"/>
    <cellStyle name="Normal 65" xfId="1721" xr:uid="{DBB9A709-F1C1-481E-BE41-0A8A0D7D4C36}"/>
    <cellStyle name="Normal 65 2" xfId="1722" xr:uid="{49B6DE69-9604-4251-9117-70F5CAEFED17}"/>
    <cellStyle name="Normal 66" xfId="1723" xr:uid="{E3FC2676-C794-40DD-B26F-92EC7FA39370}"/>
    <cellStyle name="Normal 66 2" xfId="1724" xr:uid="{8DABD84D-4FB9-4734-A019-608561371958}"/>
    <cellStyle name="Normal 67" xfId="1725" xr:uid="{C430D7EE-68E8-4016-86EF-818B55FEC738}"/>
    <cellStyle name="Normal 67 2" xfId="1726" xr:uid="{7DE107F4-9F3A-4C14-A97B-86D0598FE459}"/>
    <cellStyle name="Normal 68" xfId="1727" xr:uid="{B8351AB5-365D-4CB3-BE55-B419425E9619}"/>
    <cellStyle name="Normal 68 2" xfId="1728" xr:uid="{7D5FC1A1-EF65-4E1B-AF80-5889259A09CA}"/>
    <cellStyle name="Normal 69" xfId="1729" xr:uid="{9E5A45D6-9742-4E6C-9AAD-356A7B110B9E}"/>
    <cellStyle name="Normal 69 2" xfId="1730" xr:uid="{253AB47B-CC67-4D21-BAFD-7BB594F3AECE}"/>
    <cellStyle name="Normal 7" xfId="1731" xr:uid="{8C97A1F9-ECC2-4892-B6E7-C6AC67A5EF3A}"/>
    <cellStyle name="Normal 7 2" xfId="1732" xr:uid="{1226EF6D-E339-4A21-BDE5-442330423E9D}"/>
    <cellStyle name="Normal 70" xfId="1733" xr:uid="{428ED0B0-23AB-4DAA-AA49-5F769888B959}"/>
    <cellStyle name="Normal 70 2" xfId="1734" xr:uid="{211C1D32-D573-4426-BDB6-5E317603D038}"/>
    <cellStyle name="Normal 71" xfId="1735" xr:uid="{A49983F3-3A79-401B-AC40-1040D84AD778}"/>
    <cellStyle name="Normal 71 2" xfId="1736" xr:uid="{E8028FE1-EC7B-477E-9215-F279A406A959}"/>
    <cellStyle name="Normal 72" xfId="1737" xr:uid="{6A028B38-D986-4208-9C4D-5892526E1DFF}"/>
    <cellStyle name="Normal 72 2" xfId="1738" xr:uid="{ED41E108-A67C-4D77-B480-D1883478C188}"/>
    <cellStyle name="Normal 73" xfId="1739" xr:uid="{CE3AC9FB-9B41-4845-A025-27CBF1060472}"/>
    <cellStyle name="Normal 73 2" xfId="1740" xr:uid="{48422E5F-A508-4FD3-B2E1-E30516321867}"/>
    <cellStyle name="Normal 74" xfId="1741" xr:uid="{9B454A5E-FBBA-469F-B042-30449C33197A}"/>
    <cellStyle name="Normal 74 2" xfId="1742" xr:uid="{E75F9057-6010-4B6E-950D-01082DC8C6DF}"/>
    <cellStyle name="Normal 75" xfId="1743" xr:uid="{36EB752C-1E7D-4222-8A0F-E3ADF0D91485}"/>
    <cellStyle name="Normal 75 2" xfId="1744" xr:uid="{3B9D120D-8EB9-4B1D-82EF-F49673FBE43F}"/>
    <cellStyle name="Normal 76" xfId="1745" xr:uid="{AFE0D4D3-9B89-4B8A-A4D1-8BA188F4BA41}"/>
    <cellStyle name="Normal 76 2" xfId="1746" xr:uid="{319C34FC-204C-420A-84AC-ECA2DAEA897D}"/>
    <cellStyle name="Normal 77" xfId="1747" xr:uid="{66317F35-7FAA-4EF4-941F-CFEC1ADD6A7A}"/>
    <cellStyle name="Normal 77 2" xfId="1748" xr:uid="{127D390D-1AB9-42AB-837E-8E494763D7AC}"/>
    <cellStyle name="Normal 78" xfId="1749" xr:uid="{F7EAFB26-A7E6-497A-A752-C58EEA034178}"/>
    <cellStyle name="Normal 78 2" xfId="1750" xr:uid="{35D99904-69E8-49C1-AE7B-A0685B064889}"/>
    <cellStyle name="Normal 79" xfId="1751" xr:uid="{14CF0B10-CA62-462F-B2E2-82AEBEC179A4}"/>
    <cellStyle name="Normal 79 2" xfId="1752" xr:uid="{F0A73F89-A7B0-4E9F-8DD5-5FA6F2013FFE}"/>
    <cellStyle name="Normal 8" xfId="1753" xr:uid="{F4F8A900-91E7-4E01-A847-92CE9A2C084A}"/>
    <cellStyle name="Normal 8 2" xfId="1754" xr:uid="{21BB7710-446B-4DCC-81AD-5D4749F06354}"/>
    <cellStyle name="Normal 80" xfId="1755" xr:uid="{5559BDE0-082C-4351-AF51-7F3DCC99A6CF}"/>
    <cellStyle name="Normal 80 2" xfId="1756" xr:uid="{C79C5985-551F-45E8-B6F7-FB1E400BEF7D}"/>
    <cellStyle name="Normal 81" xfId="1757" xr:uid="{F5B89699-AC3F-457C-92D2-E2B6E187009D}"/>
    <cellStyle name="Normal 81 2" xfId="1758" xr:uid="{7DBB4BFA-F4D7-4A27-878F-368FE6D5512A}"/>
    <cellStyle name="Normal 82" xfId="1759" xr:uid="{32082BB3-BDBA-4CBC-A882-BF0D1EC0D4F2}"/>
    <cellStyle name="Normal 82 2" xfId="1760" xr:uid="{70474C1F-A495-475A-BC71-3FF959F116A5}"/>
    <cellStyle name="Normal 83" xfId="1761" xr:uid="{556B8DC0-3983-432D-AF2A-FA9190DC85C3}"/>
    <cellStyle name="Normal 83 2" xfId="1762" xr:uid="{1B44E4F4-B566-4EDA-953A-8A2D290BEC47}"/>
    <cellStyle name="Normal 84" xfId="1763" xr:uid="{93BE462C-B688-4FEB-9009-88C2C3427AC3}"/>
    <cellStyle name="Normal 84 2" xfId="1764" xr:uid="{4E6DCA74-D5F6-4EB3-91FF-609C8E8CED9B}"/>
    <cellStyle name="Normal 85" xfId="1765" xr:uid="{DCAAD211-42C8-4310-93DF-CCB1F861490A}"/>
    <cellStyle name="Normal 85 2" xfId="1766" xr:uid="{D909E355-59B4-4360-8B84-4202ED69E4A4}"/>
    <cellStyle name="Normal 86" xfId="1767" xr:uid="{11641926-98AD-4945-9BDC-E6663C36ABDB}"/>
    <cellStyle name="Normal 86 2" xfId="1768" xr:uid="{B0B4CB40-CAEB-4964-90C9-AC462876C67B}"/>
    <cellStyle name="Normal 87" xfId="1769" xr:uid="{3DB6A6A4-A296-4F8C-8BC3-ADE019BDEAE9}"/>
    <cellStyle name="Normal 87 2" xfId="1770" xr:uid="{0C125B55-C30B-4FE9-A053-3DB265B779F7}"/>
    <cellStyle name="Normal 88" xfId="1771" xr:uid="{EEB40B8F-022A-43B8-BBCE-1A52F6D88B54}"/>
    <cellStyle name="Normal 88 2" xfId="1772" xr:uid="{BB12FAE9-1F84-43C3-93BE-D1605CB711AE}"/>
    <cellStyle name="Normal 89" xfId="1773" xr:uid="{855706A8-2BEF-4118-B299-7FAF45414E78}"/>
    <cellStyle name="Normal 89 2" xfId="1774" xr:uid="{062DF0B1-AA31-4424-A1BE-18B5D3D94C78}"/>
    <cellStyle name="Normal 9" xfId="1775" xr:uid="{9F46BDFE-B18A-40B1-9386-58EA60122A81}"/>
    <cellStyle name="Normal 9 2" xfId="1776" xr:uid="{D1163476-4E37-4405-80BB-B3518051F219}"/>
    <cellStyle name="Normal 90" xfId="1777" xr:uid="{C36DEADE-75AA-4AD1-9A05-AC549C2AAC34}"/>
    <cellStyle name="Normal 90 2" xfId="1778" xr:uid="{F8551123-01BC-41B5-8868-06059145280D}"/>
    <cellStyle name="Normal 91" xfId="1779" xr:uid="{0F9AF30F-9119-4C87-8FC7-F797645FA06E}"/>
    <cellStyle name="Normal 91 2" xfId="1780" xr:uid="{8F3A5FE1-90B0-4ABD-8AD2-D2308AC0C8A4}"/>
    <cellStyle name="Normal 92" xfId="1781" xr:uid="{A00FA759-AB59-49D5-8EC6-3A994758A657}"/>
    <cellStyle name="Normal 92 2" xfId="1782" xr:uid="{59EA13B0-5898-4494-8DDC-E530907718B1}"/>
    <cellStyle name="Normal 93" xfId="1783" xr:uid="{B10A4668-70DB-4AF2-9547-7A84FA9E3894}"/>
    <cellStyle name="Normal 93 2" xfId="1784" xr:uid="{F1741244-8139-4CBE-BD61-75DAFA6F13D8}"/>
    <cellStyle name="Normal 94" xfId="1785" xr:uid="{746FCEC8-A7F6-4E49-8DD8-0AE2E9F85DF4}"/>
    <cellStyle name="Normal 94 2" xfId="1786" xr:uid="{F5C4EE55-7112-4A25-970C-1651CDB19468}"/>
    <cellStyle name="Normal 95" xfId="1787" xr:uid="{7AEA69C7-6AB0-4D4A-A7B7-903BCF19AE6B}"/>
    <cellStyle name="Normal 95 2" xfId="1788" xr:uid="{13B8579D-CBCB-476A-887B-6318101DC1D2}"/>
    <cellStyle name="Normal 96" xfId="1789" xr:uid="{49B3B492-EAB4-419E-8014-F507D1522214}"/>
    <cellStyle name="Normal 96 2" xfId="1790" xr:uid="{36ABB647-260A-4660-A1FA-2AAE370E5366}"/>
    <cellStyle name="Normal 97" xfId="1791" xr:uid="{16457477-E33B-4C7F-B314-760C3AA36AA3}"/>
    <cellStyle name="Normal 97 2" xfId="1792" xr:uid="{C15D086C-7920-4C6F-8884-801DF3E6A4E5}"/>
    <cellStyle name="Normal 98" xfId="1793" xr:uid="{43641B30-B45B-44EB-8C12-2026E77CC213}"/>
    <cellStyle name="Normal 98 2" xfId="1794" xr:uid="{66D222D8-332D-4099-A4B1-7C6A9A0A06C2}"/>
    <cellStyle name="Normal 99" xfId="1795" xr:uid="{2593B462-79BD-46E7-940E-8A9DC3B19744}"/>
    <cellStyle name="Normal 99 2" xfId="1796" xr:uid="{15B8EC7E-111D-4B6F-A34C-06D12BDB6595}"/>
    <cellStyle name="Note 2" xfId="1797" xr:uid="{1ED7F153-2C75-4F7E-8604-6822170B8549}"/>
    <cellStyle name="Note 2 10" xfId="1798" xr:uid="{58B6A555-17D4-420F-B805-68D4698C0397}"/>
    <cellStyle name="Note 2 11" xfId="1799" xr:uid="{F9E63128-49E0-441C-9213-B1FF6B654EE4}"/>
    <cellStyle name="Note 2 12" xfId="1800" xr:uid="{351F8668-CFA1-4AE5-995F-1971FA63D9DC}"/>
    <cellStyle name="Note 2 13" xfId="1801" xr:uid="{190504F2-4172-420E-96DC-96E8B68336CD}"/>
    <cellStyle name="Note 2 14" xfId="1802" xr:uid="{8D352C16-0754-4F12-A44F-4F657337346F}"/>
    <cellStyle name="Note 2 15" xfId="1803" xr:uid="{9E351FE0-859C-4E6F-8F50-F2E9C4775668}"/>
    <cellStyle name="Note 2 16" xfId="1804" xr:uid="{7CCFB354-95C8-4984-B25B-D20CCA1B5E40}"/>
    <cellStyle name="Note 2 17" xfId="1805" xr:uid="{6D2919A1-8FC4-4AF6-BF62-70337FA7A331}"/>
    <cellStyle name="Note 2 18" xfId="1806" xr:uid="{F9A87510-3F62-455E-BB88-24C5BBFFEBBD}"/>
    <cellStyle name="Note 2 19" xfId="1807" xr:uid="{201EC515-9523-4CAD-8F9F-F566DDD6E9EB}"/>
    <cellStyle name="Note 2 2" xfId="1808" xr:uid="{8876AFDE-BF55-4330-9721-660B75E1B5B5}"/>
    <cellStyle name="Note 2 20" xfId="1809" xr:uid="{286B1551-20AB-4500-97DD-0A0517079FED}"/>
    <cellStyle name="Note 2 21" xfId="1810" xr:uid="{0822962C-3DF9-43F5-9D13-9C90F2436CBB}"/>
    <cellStyle name="Note 2 22" xfId="1811" xr:uid="{64BA53AF-A869-4693-A10E-7BCB7951A8B8}"/>
    <cellStyle name="Note 2 23" xfId="1812" xr:uid="{82970231-F595-453B-A639-1D09B0F1A9A0}"/>
    <cellStyle name="Note 2 24" xfId="1813" xr:uid="{5465D1C5-04CC-46E6-B9D2-C6F09E4CE65E}"/>
    <cellStyle name="Note 2 25" xfId="1814" xr:uid="{6F2535E2-DCA6-40C4-AB87-7288B54BE048}"/>
    <cellStyle name="Note 2 26" xfId="1815" xr:uid="{897BF857-72CA-4C67-A649-10A16E2B7057}"/>
    <cellStyle name="Note 2 27" xfId="1816" xr:uid="{E405429F-7045-454D-BC1E-30422DE3ED6F}"/>
    <cellStyle name="Note 2 28" xfId="1817" xr:uid="{34447169-8AE5-478B-95E7-915D7CEA831F}"/>
    <cellStyle name="Note 2 29" xfId="1818" xr:uid="{E7ED36E2-2633-468B-9598-164D6306AA78}"/>
    <cellStyle name="Note 2 3" xfId="1819" xr:uid="{3041E89B-8D04-4E08-BB00-A384D04E1FA0}"/>
    <cellStyle name="Note 2 30" xfId="1820" xr:uid="{221C8635-DF69-45B3-8955-3839C9C66818}"/>
    <cellStyle name="Note 2 31" xfId="1821" xr:uid="{C35B0315-B649-4E29-9950-B356925DCE49}"/>
    <cellStyle name="Note 2 32" xfId="1822" xr:uid="{7B7AD293-4016-4869-AD4D-FFE596BD7CE0}"/>
    <cellStyle name="Note 2 33" xfId="1823" xr:uid="{CF820F45-42D7-44F8-ACC9-2094CE310320}"/>
    <cellStyle name="Note 2 34" xfId="1824" xr:uid="{89265D5B-C218-4B0E-A807-6491FAC5FAC6}"/>
    <cellStyle name="Note 2 35" xfId="1825" xr:uid="{E36DEA06-0B40-4712-9A02-0FA8DF4A9A53}"/>
    <cellStyle name="Note 2 36" xfId="1826" xr:uid="{EBC6EC23-6946-4E80-8048-CE6669539B2A}"/>
    <cellStyle name="Note 2 37" xfId="1827" xr:uid="{05F8E344-BD88-4991-A386-973D381E24F1}"/>
    <cellStyle name="Note 2 38" xfId="1828" xr:uid="{26E56778-BFA2-4590-BCB6-62DB6AFAD952}"/>
    <cellStyle name="Note 2 39" xfId="1829" xr:uid="{44253D17-9C87-4E0D-B0DF-E0CBB3DD8371}"/>
    <cellStyle name="Note 2 4" xfId="1830" xr:uid="{BBB43D02-BABF-456C-A509-0C8E5B6A5CC9}"/>
    <cellStyle name="Note 2 40" xfId="1831" xr:uid="{A3199139-8B81-4C02-BE1C-E4DD9ED4B0C8}"/>
    <cellStyle name="Note 2 41" xfId="1832" xr:uid="{469D8125-914D-4084-91A1-F17159CC1728}"/>
    <cellStyle name="Note 2 42" xfId="1833" xr:uid="{770A5438-952C-4089-AD30-95FD58E9AC57}"/>
    <cellStyle name="Note 2 43" xfId="1834" xr:uid="{C5E74C0C-33F2-45B6-88F9-35A680607706}"/>
    <cellStyle name="Note 2 44" xfId="1835" xr:uid="{CBCFE712-394E-4150-869B-C7E10FDF0A74}"/>
    <cellStyle name="Note 2 45" xfId="1836" xr:uid="{DB0A7198-7287-4AC6-90A5-8CFF531EF579}"/>
    <cellStyle name="Note 2 46" xfId="1837" xr:uid="{BD53D4B3-9334-451F-842F-21A5AF119569}"/>
    <cellStyle name="Note 2 47" xfId="1838" xr:uid="{F1441FDB-AA74-4802-A9E1-BA752D222E6E}"/>
    <cellStyle name="Note 2 48" xfId="1839" xr:uid="{86005ABF-CE3A-4000-B938-9D3942E22AEE}"/>
    <cellStyle name="Note 2 49" xfId="1840" xr:uid="{59F86936-ED17-44E9-A9CF-C5BC01D6772B}"/>
    <cellStyle name="Note 2 5" xfId="1841" xr:uid="{7EACA60F-5F5A-468B-B0C0-49B13112AB53}"/>
    <cellStyle name="Note 2 6" xfId="1842" xr:uid="{6070008C-F8E1-4ACE-8D17-909B9CCB55F3}"/>
    <cellStyle name="Note 2 7" xfId="1843" xr:uid="{7FB5F124-FC79-4DDE-AB07-FDC9578DF3CC}"/>
    <cellStyle name="Note 2 8" xfId="1844" xr:uid="{6C4B14D5-C630-432D-8E70-C6B1CD4646E5}"/>
    <cellStyle name="Note 2 9" xfId="1845" xr:uid="{2AA32516-2D2C-49AD-94E4-2FA8364F46E4}"/>
    <cellStyle name="Output 2" xfId="1846" xr:uid="{DD41456B-CD77-4AD6-84F4-52FAED2C5474}"/>
    <cellStyle name="Output 2 10" xfId="1847" xr:uid="{42A0C5A1-2E2F-40D3-8E6C-B1CCAAF41144}"/>
    <cellStyle name="Output 2 11" xfId="1848" xr:uid="{39EC754A-CDC0-4D8D-A248-AE6091151C4F}"/>
    <cellStyle name="Output 2 12" xfId="1849" xr:uid="{FF9849B8-432B-4146-9307-30D66DE4D564}"/>
    <cellStyle name="Output 2 13" xfId="1850" xr:uid="{B73C0512-8E70-454F-83F7-5BE3D6927754}"/>
    <cellStyle name="Output 2 14" xfId="1851" xr:uid="{7BFE9ABD-CAD4-4C9A-A755-94DD6E7730B2}"/>
    <cellStyle name="Output 2 15" xfId="1852" xr:uid="{FB94911D-65CF-4786-847B-700E748567E5}"/>
    <cellStyle name="Output 2 16" xfId="1853" xr:uid="{DB5EEAED-356B-4578-859A-35194B70A3B6}"/>
    <cellStyle name="Output 2 17" xfId="1854" xr:uid="{6A9DBBEE-EAF1-4E98-BD39-43BCE2E89E17}"/>
    <cellStyle name="Output 2 18" xfId="1855" xr:uid="{8654E2AE-8DEF-4526-9239-3AD6BD08F5F0}"/>
    <cellStyle name="Output 2 19" xfId="1856" xr:uid="{842812A5-CE52-4C64-BFF2-DA7C8DF7C5B6}"/>
    <cellStyle name="Output 2 2" xfId="1857" xr:uid="{B251BFA7-53E9-4633-BF38-53812EE59F77}"/>
    <cellStyle name="Output 2 20" xfId="1858" xr:uid="{CBB9E20B-9533-473B-93AD-6E61F40AFCBD}"/>
    <cellStyle name="Output 2 21" xfId="1859" xr:uid="{6E77FAC7-4FBF-4347-B18C-C5CE555E8F41}"/>
    <cellStyle name="Output 2 22" xfId="1860" xr:uid="{D33CCCDA-3424-4E6D-A9FC-8ED19C44B880}"/>
    <cellStyle name="Output 2 23" xfId="1861" xr:uid="{1BB73419-E95E-4589-9AE7-639D3B3F8B54}"/>
    <cellStyle name="Output 2 24" xfId="1862" xr:uid="{4610876F-E4B6-48A2-8BF3-042DF863C177}"/>
    <cellStyle name="Output 2 25" xfId="1863" xr:uid="{C7BA04F9-6A90-4F49-8388-850F35FC8A04}"/>
    <cellStyle name="Output 2 26" xfId="1864" xr:uid="{ADCD2814-116C-4A62-9785-64E07882D805}"/>
    <cellStyle name="Output 2 27" xfId="1865" xr:uid="{D43F23AF-5295-4D73-8056-0C786E353C3A}"/>
    <cellStyle name="Output 2 28" xfId="1866" xr:uid="{3CA22D54-15D1-41E2-A37F-28E3A4602365}"/>
    <cellStyle name="Output 2 29" xfId="1867" xr:uid="{A292576A-085C-49E2-963B-AAF262B93650}"/>
    <cellStyle name="Output 2 3" xfId="1868" xr:uid="{3B4CEC14-B4BE-4ABB-9CDC-69D417AD79AC}"/>
    <cellStyle name="Output 2 30" xfId="1869" xr:uid="{A2E6A458-2185-4311-95E3-BB566404BB2A}"/>
    <cellStyle name="Output 2 31" xfId="1870" xr:uid="{7A2AE8FC-0B66-4AF3-966B-7E18F09698F8}"/>
    <cellStyle name="Output 2 32" xfId="1871" xr:uid="{E63AA3CB-FC71-4CDA-BE8A-DE69252861EE}"/>
    <cellStyle name="Output 2 33" xfId="1872" xr:uid="{7CA82F7D-4BF0-46A3-9A6B-DA4F70DAD451}"/>
    <cellStyle name="Output 2 34" xfId="1873" xr:uid="{4908B8E5-4141-40B9-B0D2-D9EA74AD8499}"/>
    <cellStyle name="Output 2 35" xfId="1874" xr:uid="{7945BD6B-D5A0-4EB3-A606-50A1585D2F51}"/>
    <cellStyle name="Output 2 36" xfId="1875" xr:uid="{1E74A904-8712-4F55-B20D-B18A26FA05E6}"/>
    <cellStyle name="Output 2 37" xfId="1876" xr:uid="{2F7B288B-83BB-4EB1-9C24-555DAB55300F}"/>
    <cellStyle name="Output 2 38" xfId="1877" xr:uid="{BCB12F74-3345-487D-BFB1-AA71F26CC2AB}"/>
    <cellStyle name="Output 2 39" xfId="1878" xr:uid="{7E0830D6-7BB8-45E2-95BE-56DEC95427DA}"/>
    <cellStyle name="Output 2 4" xfId="1879" xr:uid="{B7777A6F-7288-402B-9533-C22A6BEBCE7C}"/>
    <cellStyle name="Output 2 40" xfId="1880" xr:uid="{02DCD97C-F2DA-4C18-AD69-C5E4F2D446DC}"/>
    <cellStyle name="Output 2 41" xfId="1881" xr:uid="{25315B9E-4644-4471-8FC9-7AB432D9B043}"/>
    <cellStyle name="Output 2 42" xfId="1882" xr:uid="{A0D0B385-45A3-4A93-8AAE-2649218ED731}"/>
    <cellStyle name="Output 2 43" xfId="1883" xr:uid="{03C38690-6721-4E29-9D2B-B60AE4CA6CE1}"/>
    <cellStyle name="Output 2 44" xfId="1884" xr:uid="{1F66B2BD-97E6-46B2-B4A7-A19AEF9C1BF1}"/>
    <cellStyle name="Output 2 45" xfId="1885" xr:uid="{552F4706-7A2F-47BD-B406-43432B325BB3}"/>
    <cellStyle name="Output 2 46" xfId="1886" xr:uid="{C9300510-4857-4E44-88F3-4A1BC9707B6A}"/>
    <cellStyle name="Output 2 47" xfId="1887" xr:uid="{533929FC-05E2-4CA7-80D8-E619F096C60B}"/>
    <cellStyle name="Output 2 48" xfId="1888" xr:uid="{A6A76C90-0C70-42BA-A0A0-9DBE07E61B85}"/>
    <cellStyle name="Output 2 49" xfId="1889" xr:uid="{05DEC994-3D47-4BAE-93F5-1BD664574EA5}"/>
    <cellStyle name="Output 2 5" xfId="1890" xr:uid="{356C3569-2BFF-415D-9571-3F9A0FEDC051}"/>
    <cellStyle name="Output 2 6" xfId="1891" xr:uid="{9488BDCB-9BA7-41DA-A161-DC47830127A0}"/>
    <cellStyle name="Output 2 7" xfId="1892" xr:uid="{96AEC778-D3AA-4FDC-8EA0-84FD17198C0E}"/>
    <cellStyle name="Output 2 8" xfId="1893" xr:uid="{F5A45150-5244-4C58-9111-6C8CA5F553FB}"/>
    <cellStyle name="Output 2 9" xfId="1894" xr:uid="{56FB3EA1-1293-4B9E-9943-D4491BE92786}"/>
    <cellStyle name="Standard_2006-UK" xfId="1895" xr:uid="{42082698-51EB-4934-B3B8-E7A8ED2B8790}"/>
    <cellStyle name="Title 2" xfId="1896" xr:uid="{617D1201-E4C5-4B6D-A390-A70339FD083D}"/>
    <cellStyle name="Title 2 10" xfId="1897" xr:uid="{7328ECEF-7763-4156-A82D-520291B35CC9}"/>
    <cellStyle name="Title 2 11" xfId="1898" xr:uid="{F85BA6E2-4421-43D7-A309-6BBE88739660}"/>
    <cellStyle name="Title 2 12" xfId="1899" xr:uid="{EC3328DA-6615-42A3-A8EA-8E4D398B5057}"/>
    <cellStyle name="Title 2 13" xfId="1900" xr:uid="{7F7389AC-B50F-4C4E-9B2C-366B9A140E73}"/>
    <cellStyle name="Title 2 14" xfId="1901" xr:uid="{9B6F90B7-442A-4402-84B2-9263C86CF63D}"/>
    <cellStyle name="Title 2 15" xfId="1902" xr:uid="{D04C435C-FE72-431E-ACFC-E63B55B82250}"/>
    <cellStyle name="Title 2 16" xfId="1903" xr:uid="{6291D3C4-3F8E-4ED8-A79F-0F3126BC2562}"/>
    <cellStyle name="Title 2 17" xfId="1904" xr:uid="{D87319D9-5A27-42FE-AE6A-EED497CAD3DD}"/>
    <cellStyle name="Title 2 18" xfId="1905" xr:uid="{DDC5E22C-E1F4-4490-8FEE-CA8E3678F469}"/>
    <cellStyle name="Title 2 19" xfId="1906" xr:uid="{A579F7F8-D991-45BF-818A-4F761DB9FFEA}"/>
    <cellStyle name="Title 2 2" xfId="1907" xr:uid="{0A6B744C-7AB5-41BC-AF16-202F196752D3}"/>
    <cellStyle name="Title 2 20" xfId="1908" xr:uid="{2C22FDA6-5196-479E-B262-4F364F878D1F}"/>
    <cellStyle name="Title 2 21" xfId="1909" xr:uid="{567A1830-F96C-479A-A8A2-F8CE20108C6C}"/>
    <cellStyle name="Title 2 22" xfId="1910" xr:uid="{7387EB7A-5301-42ED-8913-2DC8E8101054}"/>
    <cellStyle name="Title 2 23" xfId="1911" xr:uid="{143F6855-0825-4C1F-99CD-F726AB7CD591}"/>
    <cellStyle name="Title 2 24" xfId="1912" xr:uid="{B9EE6A4B-0CEB-476C-B6B5-82C7F58623E4}"/>
    <cellStyle name="Title 2 25" xfId="1913" xr:uid="{415A047D-EB48-427C-8856-783C95B33199}"/>
    <cellStyle name="Title 2 26" xfId="1914" xr:uid="{09465FF5-5084-4BC4-891B-2F59C7AB97CF}"/>
    <cellStyle name="Title 2 27" xfId="1915" xr:uid="{E17ADAEA-24F6-445D-BFCA-E73869A4C51A}"/>
    <cellStyle name="Title 2 28" xfId="1916" xr:uid="{C3D49A94-A7B6-4C85-9DC6-561ECB35A739}"/>
    <cellStyle name="Title 2 29" xfId="1917" xr:uid="{324B827B-890D-43C9-8C73-4C3D765C8894}"/>
    <cellStyle name="Title 2 3" xfId="1918" xr:uid="{D9DE1B33-3726-43F8-8B9B-0B2BDB2D566A}"/>
    <cellStyle name="Title 2 30" xfId="1919" xr:uid="{5AAF7899-FAC8-4AF6-8077-0B39E5B6790E}"/>
    <cellStyle name="Title 2 31" xfId="1920" xr:uid="{9AC89432-2B95-4BB8-9E0C-06DB20FEF700}"/>
    <cellStyle name="Title 2 32" xfId="1921" xr:uid="{E5910F0C-F5B3-4148-968D-A123054175DB}"/>
    <cellStyle name="Title 2 33" xfId="1922" xr:uid="{EC5D57BF-A1D3-41B2-B037-18187FDAA2E0}"/>
    <cellStyle name="Title 2 34" xfId="1923" xr:uid="{60803D57-C9F1-4FB8-8A11-259A7EF3B06E}"/>
    <cellStyle name="Title 2 35" xfId="1924" xr:uid="{B272E35D-5ED5-44A8-804C-8AACBC62FC52}"/>
    <cellStyle name="Title 2 36" xfId="1925" xr:uid="{2A4C2F60-37E5-4A7E-BE36-94E5B9958B86}"/>
    <cellStyle name="Title 2 37" xfId="1926" xr:uid="{0BB2E3A3-CA2D-4A54-9B80-C992DEB1B283}"/>
    <cellStyle name="Title 2 38" xfId="1927" xr:uid="{8E9B6633-2BC5-4C82-9D0A-33FCD9BD2E6F}"/>
    <cellStyle name="Title 2 39" xfId="1928" xr:uid="{82D675CC-8250-47D1-801D-58FD5B7D7CC4}"/>
    <cellStyle name="Title 2 4" xfId="1929" xr:uid="{F3D0EC0E-832E-46FB-8D5C-5E7AF5AD2C43}"/>
    <cellStyle name="Title 2 40" xfId="1930" xr:uid="{FD2DB9FE-7B97-4611-B584-A33F7491A704}"/>
    <cellStyle name="Title 2 41" xfId="1931" xr:uid="{60C65D27-2992-4833-A5A7-C0889B3E1FC4}"/>
    <cellStyle name="Title 2 42" xfId="1932" xr:uid="{97037DDE-C814-4C89-8579-D08339D71EFA}"/>
    <cellStyle name="Title 2 43" xfId="1933" xr:uid="{E252D999-1614-4D71-8B45-AAD9753D2B73}"/>
    <cellStyle name="Title 2 44" xfId="1934" xr:uid="{C0ED3013-E532-4A6E-82EA-D87C48F7DF33}"/>
    <cellStyle name="Title 2 45" xfId="1935" xr:uid="{D8DBE37E-8698-4F09-8E23-54E1C84B238C}"/>
    <cellStyle name="Title 2 46" xfId="1936" xr:uid="{179BEF14-8829-4207-B363-A07900DA0B16}"/>
    <cellStyle name="Title 2 47" xfId="1937" xr:uid="{AA3BB310-20D2-44A5-80AF-6613A7579083}"/>
    <cellStyle name="Title 2 48" xfId="1938" xr:uid="{AC2C7919-E762-4DC4-95FF-699CD53875D8}"/>
    <cellStyle name="Title 2 49" xfId="1939" xr:uid="{50655F0C-07B1-4076-812E-D1545481995E}"/>
    <cellStyle name="Title 2 49 2" xfId="1940" xr:uid="{BEF5E568-5350-4989-9D4B-045F1D953CE2}"/>
    <cellStyle name="Title 2 5" xfId="1941" xr:uid="{B1F72D68-F8F6-4510-A4E2-D388C682364E}"/>
    <cellStyle name="Title 2 50" xfId="1942" xr:uid="{9C020DCD-A549-4190-B304-056F2A454A61}"/>
    <cellStyle name="Title 2 50 2" xfId="1943" xr:uid="{1133452D-B3C5-4F18-AAA5-7B660F016AC2}"/>
    <cellStyle name="Title 2 6" xfId="1944" xr:uid="{DB746DDC-6394-41FE-A590-731BC401D4BF}"/>
    <cellStyle name="Title 2 7" xfId="1945" xr:uid="{1B629544-6C79-4F6F-A7A4-6D1D28469837}"/>
    <cellStyle name="Title 2 8" xfId="1946" xr:uid="{E9314DCC-C283-4600-833B-F7A28D4BA98D}"/>
    <cellStyle name="Title 2 9" xfId="1947" xr:uid="{EB21728B-ED9C-42FF-B006-51948B32CA2F}"/>
    <cellStyle name="Total 2" xfId="1948" xr:uid="{67A1003E-42EB-4937-853E-9E2A7FDE6BE0}"/>
    <cellStyle name="Total 2 10" xfId="1949" xr:uid="{20C15C8B-FD41-47C8-BEEA-4C478DBD25C2}"/>
    <cellStyle name="Total 2 11" xfId="1950" xr:uid="{E56EB36E-29E9-43F1-8050-B753BF72B3FE}"/>
    <cellStyle name="Total 2 12" xfId="1951" xr:uid="{E4A9AC59-9EDA-4DC6-8E15-89A68C8E9387}"/>
    <cellStyle name="Total 2 13" xfId="1952" xr:uid="{7E76FED5-DCA4-443F-A11F-6F558E86F5F6}"/>
    <cellStyle name="Total 2 14" xfId="1953" xr:uid="{131F0BAE-8645-4113-84DD-548FB34EB05D}"/>
    <cellStyle name="Total 2 15" xfId="1954" xr:uid="{7616598D-D81F-4EEF-A687-214A0BF02B3F}"/>
    <cellStyle name="Total 2 16" xfId="1955" xr:uid="{7FFF2426-054E-4477-AE9C-D08D64118CC6}"/>
    <cellStyle name="Total 2 17" xfId="1956" xr:uid="{F726A94C-422A-4F3B-9185-7127437741A8}"/>
    <cellStyle name="Total 2 18" xfId="1957" xr:uid="{86C2D846-2E07-4220-9A6A-CB578E75118C}"/>
    <cellStyle name="Total 2 19" xfId="1958" xr:uid="{C9E0DC62-0412-49C0-B87D-53D5D91C6270}"/>
    <cellStyle name="Total 2 2" xfId="1959" xr:uid="{95B8D825-4779-4525-8A8A-55AD87478E2A}"/>
    <cellStyle name="Total 2 20" xfId="1960" xr:uid="{DB377EAB-2FDA-4447-9184-FA586BE3AC04}"/>
    <cellStyle name="Total 2 21" xfId="1961" xr:uid="{7173C2A5-E194-4D96-B192-0C19F9713956}"/>
    <cellStyle name="Total 2 22" xfId="1962" xr:uid="{3EC4AF9D-1E29-4A79-9D32-3AF4163802C4}"/>
    <cellStyle name="Total 2 23" xfId="1963" xr:uid="{9657CC5E-AC59-4D46-8156-78B9CCE9B912}"/>
    <cellStyle name="Total 2 24" xfId="1964" xr:uid="{214F72CA-BD40-4A63-9E83-46DFF5142FC3}"/>
    <cellStyle name="Total 2 25" xfId="1965" xr:uid="{B4882E45-8BA0-47DA-A2FA-377C1DBA6137}"/>
    <cellStyle name="Total 2 26" xfId="1966" xr:uid="{2ED65CF9-5FA1-42BF-91E9-18EE38535946}"/>
    <cellStyle name="Total 2 27" xfId="1967" xr:uid="{7A895270-352B-4384-854D-155DFDAE87A6}"/>
    <cellStyle name="Total 2 28" xfId="1968" xr:uid="{FE7B98BF-ACFD-4548-A1C0-BFC8EECC3D48}"/>
    <cellStyle name="Total 2 29" xfId="1969" xr:uid="{A9BDB0E4-C85A-4168-91F5-53CE6F6E7334}"/>
    <cellStyle name="Total 2 3" xfId="1970" xr:uid="{6B1B42B8-4C41-4360-83C9-6D4648BE4FCE}"/>
    <cellStyle name="Total 2 30" xfId="1971" xr:uid="{6B18B2EF-E55D-4F4A-BDBC-B287CE94A5CC}"/>
    <cellStyle name="Total 2 31" xfId="1972" xr:uid="{48168EB2-9836-4CD6-913A-E3FC275EEE05}"/>
    <cellStyle name="Total 2 32" xfId="1973" xr:uid="{A2D52616-D1BB-4433-898B-C9EEAD67F919}"/>
    <cellStyle name="Total 2 33" xfId="1974" xr:uid="{0D92C230-EA81-4BFA-A439-B97B658AC42B}"/>
    <cellStyle name="Total 2 34" xfId="1975" xr:uid="{3D308312-99C2-4A06-A52F-7AD016C172D9}"/>
    <cellStyle name="Total 2 35" xfId="1976" xr:uid="{A855862F-3A4F-44FC-9798-F0BF01CFB9D1}"/>
    <cellStyle name="Total 2 36" xfId="1977" xr:uid="{6AD32A74-8ADB-4169-8942-53D02D97BCEA}"/>
    <cellStyle name="Total 2 37" xfId="1978" xr:uid="{1DB4B281-7C0D-4982-8C58-EBAF183CA2DB}"/>
    <cellStyle name="Total 2 38" xfId="1979" xr:uid="{5F3571EB-148E-4BEF-9E25-72D8BE9BD756}"/>
    <cellStyle name="Total 2 39" xfId="1980" xr:uid="{D3031758-8C76-4A21-A661-7F34566BEA9B}"/>
    <cellStyle name="Total 2 4" xfId="1981" xr:uid="{0C1BFF94-9CCE-4A79-B8CA-445B4C25AD4E}"/>
    <cellStyle name="Total 2 40" xfId="1982" xr:uid="{30971E9F-91D5-4EB0-9486-B60F41736579}"/>
    <cellStyle name="Total 2 41" xfId="1983" xr:uid="{D96C5274-B748-40C3-B71E-6792C113E7E0}"/>
    <cellStyle name="Total 2 42" xfId="1984" xr:uid="{3E5DDA9E-7028-4CBA-8828-52A15B4919B0}"/>
    <cellStyle name="Total 2 43" xfId="1985" xr:uid="{F61C66FD-022A-4944-B9E5-38594946BAE8}"/>
    <cellStyle name="Total 2 44" xfId="1986" xr:uid="{1BEF118C-EA38-4AD3-99B0-30DD0818E517}"/>
    <cellStyle name="Total 2 45" xfId="1987" xr:uid="{BAD406AA-6A09-4D0C-AFAA-CA8F7ED946AF}"/>
    <cellStyle name="Total 2 46" xfId="1988" xr:uid="{40E3ACED-7100-49C0-AACC-8A9F8C6594A5}"/>
    <cellStyle name="Total 2 47" xfId="1989" xr:uid="{56A70AD4-7253-43AB-A7B7-1CBBF0A5527F}"/>
    <cellStyle name="Total 2 48" xfId="1990" xr:uid="{164E3A81-3124-46B6-B8A8-661A94F62066}"/>
    <cellStyle name="Total 2 49" xfId="1991" xr:uid="{78EAC0DE-F5EE-49AA-BF60-20CE4ACA6E06}"/>
    <cellStyle name="Total 2 5" xfId="1992" xr:uid="{8E468364-84FE-41B9-86AD-53B321E283D3}"/>
    <cellStyle name="Total 2 6" xfId="1993" xr:uid="{8F6082A1-5F69-4E3D-B1AF-FD8FBC43A162}"/>
    <cellStyle name="Total 2 7" xfId="1994" xr:uid="{7978F4CE-E6E4-404E-A3C0-CBF18CDD4F9D}"/>
    <cellStyle name="Total 2 8" xfId="1995" xr:uid="{5B2946E0-A203-48FF-ABC7-3FFDD7DAC369}"/>
    <cellStyle name="Total 2 9" xfId="1996" xr:uid="{CFD0A2C0-474C-4BE1-812D-4ACEA8472DF7}"/>
    <cellStyle name="Warning Text" xfId="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63"/>
  <sheetViews>
    <sheetView tabSelected="1" zoomScaleNormal="100" workbookViewId="0">
      <selection activeCell="O62" sqref="O62"/>
    </sheetView>
  </sheetViews>
  <sheetFormatPr defaultRowHeight="14.5" x14ac:dyDescent="0.35"/>
  <cols>
    <col min="1" max="1" width="4.6328125" customWidth="1"/>
    <col min="2" max="2" width="19.81640625" style="5" customWidth="1"/>
    <col min="3" max="3" width="12.26953125" style="5" customWidth="1"/>
    <col min="4" max="4" width="14" customWidth="1"/>
    <col min="5" max="5" width="12.26953125" customWidth="1"/>
    <col min="6" max="7" width="13.7265625" customWidth="1"/>
    <col min="8" max="8" width="12.81640625" customWidth="1"/>
    <col min="9" max="9" width="13.7265625" customWidth="1"/>
    <col min="10" max="10" width="14.7265625" customWidth="1"/>
    <col min="11" max="11" width="15.36328125" customWidth="1"/>
    <col min="12" max="12" width="11" customWidth="1"/>
    <col min="13" max="13" width="10.7265625" customWidth="1"/>
    <col min="14" max="14" width="9.08984375" customWidth="1"/>
    <col min="15" max="15" width="9.26953125" customWidth="1"/>
    <col min="16" max="39" width="9.08984375" customWidth="1"/>
  </cols>
  <sheetData>
    <row r="1" spans="2:15" ht="18.5" x14ac:dyDescent="0.45">
      <c r="B1" s="14" t="s">
        <v>246</v>
      </c>
      <c r="C1" s="14"/>
    </row>
    <row r="2" spans="2:15" ht="15" thickBot="1" x14ac:dyDescent="0.4"/>
    <row r="3" spans="2:15" ht="14.65" customHeight="1" thickBot="1" x14ac:dyDescent="0.4">
      <c r="B3" s="118" t="s">
        <v>6</v>
      </c>
      <c r="C3" s="95" t="s">
        <v>227</v>
      </c>
      <c r="D3" s="95" t="s">
        <v>7</v>
      </c>
      <c r="E3" s="100" t="s">
        <v>8</v>
      </c>
      <c r="F3" s="101"/>
      <c r="G3" s="101"/>
      <c r="H3" s="102"/>
      <c r="I3" s="100" t="s">
        <v>0</v>
      </c>
      <c r="J3" s="101"/>
      <c r="K3" s="101"/>
      <c r="L3" s="102"/>
      <c r="M3" s="95" t="s">
        <v>215</v>
      </c>
      <c r="N3" s="88" t="s">
        <v>198</v>
      </c>
    </row>
    <row r="4" spans="2:15" ht="15" thickBot="1" x14ac:dyDescent="0.4">
      <c r="B4" s="118"/>
      <c r="C4" s="115"/>
      <c r="D4" s="115"/>
      <c r="E4" s="103"/>
      <c r="F4" s="104"/>
      <c r="G4" s="104"/>
      <c r="H4" s="105"/>
      <c r="I4" s="124"/>
      <c r="J4" s="140"/>
      <c r="K4" s="140"/>
      <c r="L4" s="141"/>
      <c r="M4" s="115"/>
      <c r="N4" s="132"/>
    </row>
    <row r="5" spans="2:15" ht="48.4" customHeight="1" thickBot="1" x14ac:dyDescent="0.4">
      <c r="B5" s="118"/>
      <c r="C5" s="115"/>
      <c r="D5" s="115"/>
      <c r="E5" s="98" t="s">
        <v>191</v>
      </c>
      <c r="F5" s="98" t="s">
        <v>216</v>
      </c>
      <c r="G5" s="98" t="s">
        <v>189</v>
      </c>
      <c r="H5" s="110" t="s">
        <v>217</v>
      </c>
      <c r="I5" s="98" t="s">
        <v>197</v>
      </c>
      <c r="J5" s="109" t="s">
        <v>10</v>
      </c>
      <c r="K5" s="95" t="s">
        <v>190</v>
      </c>
      <c r="L5" s="116" t="s">
        <v>262</v>
      </c>
      <c r="M5" s="96"/>
      <c r="N5" s="133"/>
      <c r="O5" s="13"/>
    </row>
    <row r="6" spans="2:15" ht="48.4" customHeight="1" thickBot="1" x14ac:dyDescent="0.4">
      <c r="B6" s="118"/>
      <c r="C6" s="96"/>
      <c r="D6" s="115"/>
      <c r="E6" s="112"/>
      <c r="F6" s="112"/>
      <c r="G6" s="112"/>
      <c r="H6" s="111"/>
      <c r="I6" s="112"/>
      <c r="J6" s="109"/>
      <c r="K6" s="96"/>
      <c r="L6" s="169"/>
      <c r="M6" s="138" t="s">
        <v>214</v>
      </c>
      <c r="N6" s="139"/>
    </row>
    <row r="7" spans="2:15" ht="15" thickBot="1" x14ac:dyDescent="0.4">
      <c r="B7" s="12" t="s">
        <v>3</v>
      </c>
      <c r="C7" s="135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7"/>
    </row>
    <row r="8" spans="2:15" ht="15" thickBot="1" x14ac:dyDescent="0.4">
      <c r="B8" s="36" t="s">
        <v>28</v>
      </c>
      <c r="C8" s="36" t="s">
        <v>228</v>
      </c>
      <c r="D8" s="82">
        <v>132.67099999999999</v>
      </c>
      <c r="E8" s="22">
        <v>95.783267006018775</v>
      </c>
      <c r="F8" s="21">
        <f>65+10.5174869049589</f>
        <v>75.517486904958901</v>
      </c>
      <c r="G8" s="22">
        <v>69.810577626154441</v>
      </c>
      <c r="H8" s="70">
        <v>94.567788676533439</v>
      </c>
      <c r="I8" s="22">
        <v>102.68769466597442</v>
      </c>
      <c r="J8" s="21">
        <f>65+4.50939299749709</f>
        <v>69.509392997497088</v>
      </c>
      <c r="K8" s="37">
        <v>67.3720823974204</v>
      </c>
      <c r="L8" s="24">
        <v>97.254893277542848</v>
      </c>
      <c r="M8" s="21">
        <v>6</v>
      </c>
      <c r="N8" s="23">
        <v>6</v>
      </c>
      <c r="O8" s="10"/>
    </row>
    <row r="9" spans="2:15" ht="15" thickBot="1" x14ac:dyDescent="0.4">
      <c r="B9" s="36" t="s">
        <v>29</v>
      </c>
      <c r="C9" s="36" t="s">
        <v>228</v>
      </c>
      <c r="D9" s="82">
        <v>135.16500000000002</v>
      </c>
      <c r="E9" s="22">
        <v>96.83531933497315</v>
      </c>
      <c r="F9" s="21">
        <f>65+10.4440493080135</f>
        <v>75.444049308013504</v>
      </c>
      <c r="G9" s="22">
        <v>67.240747000733123</v>
      </c>
      <c r="H9" s="24">
        <v>95.538783616501973</v>
      </c>
      <c r="I9" s="22">
        <v>99.584264056048582</v>
      </c>
      <c r="J9" s="21">
        <f>65+3.97792528430895</f>
        <v>68.977925284308952</v>
      </c>
      <c r="K9" s="37">
        <v>64.033575673633905</v>
      </c>
      <c r="L9" s="24">
        <v>93.235047934546671</v>
      </c>
      <c r="M9" s="21">
        <v>5.8</v>
      </c>
      <c r="N9" s="23">
        <v>5.4</v>
      </c>
      <c r="O9" s="10"/>
    </row>
    <row r="10" spans="2:15" ht="15" thickBot="1" x14ac:dyDescent="0.4">
      <c r="B10" s="36" t="s">
        <v>30</v>
      </c>
      <c r="C10" s="36" t="s">
        <v>228</v>
      </c>
      <c r="D10" s="82">
        <v>138.501</v>
      </c>
      <c r="E10" s="22">
        <v>97.34951893213011</v>
      </c>
      <c r="F10" s="21">
        <f>65+11.5810319592932</f>
        <v>76.581031959293199</v>
      </c>
      <c r="G10" s="22">
        <v>67.472068611338116</v>
      </c>
      <c r="H10" s="77">
        <v>97.23169932499674</v>
      </c>
      <c r="I10" s="22">
        <v>100.0128968958311</v>
      </c>
      <c r="J10" s="21">
        <f>65+8.31675682575197</f>
        <v>73.316756825751966</v>
      </c>
      <c r="K10" s="37">
        <v>67.25761204790922</v>
      </c>
      <c r="L10" s="24">
        <v>97.550786424818369</v>
      </c>
      <c r="M10" s="21">
        <v>5.6</v>
      </c>
      <c r="N10" s="23">
        <v>6.1</v>
      </c>
      <c r="O10" s="10"/>
    </row>
    <row r="11" spans="2:15" ht="15" thickBot="1" x14ac:dyDescent="0.4">
      <c r="B11" s="12" t="s">
        <v>4</v>
      </c>
      <c r="C11" s="135"/>
      <c r="D11" s="136"/>
      <c r="E11" s="136"/>
      <c r="F11" s="136"/>
      <c r="G11" s="136"/>
      <c r="H11" s="136"/>
      <c r="I11" s="136"/>
      <c r="J11" s="136"/>
      <c r="K11" s="136"/>
      <c r="L11" s="136"/>
      <c r="M11" s="136"/>
      <c r="N11" s="137"/>
      <c r="O11" s="10"/>
    </row>
    <row r="12" spans="2:15" ht="15" thickBot="1" x14ac:dyDescent="0.4">
      <c r="B12" s="36" t="s">
        <v>31</v>
      </c>
      <c r="C12" s="36" t="s">
        <v>228</v>
      </c>
      <c r="D12" s="82">
        <v>132.67099999999999</v>
      </c>
      <c r="E12" s="22">
        <v>93.955869680342104</v>
      </c>
      <c r="F12" s="21">
        <f>65+11.3859087706547</f>
        <v>76.385908770654694</v>
      </c>
      <c r="G12" s="22">
        <v>69.108423715834945</v>
      </c>
      <c r="H12" s="71">
        <v>93.579682901014934</v>
      </c>
      <c r="I12" s="22">
        <v>98.574151980324103</v>
      </c>
      <c r="J12" s="21">
        <f>65+5.53633905377251</f>
        <v>70.536339053772508</v>
      </c>
      <c r="K12" s="22">
        <v>68.638872397102617</v>
      </c>
      <c r="L12" s="24">
        <v>96.293735395992471</v>
      </c>
      <c r="M12" s="21">
        <v>4</v>
      </c>
      <c r="N12" s="21">
        <v>6.7</v>
      </c>
      <c r="O12" s="10"/>
    </row>
    <row r="13" spans="2:15" ht="15" thickBot="1" x14ac:dyDescent="0.4">
      <c r="B13" s="36" t="s">
        <v>32</v>
      </c>
      <c r="C13" s="36" t="s">
        <v>228</v>
      </c>
      <c r="D13" s="82">
        <v>138.62799999999999</v>
      </c>
      <c r="E13" s="22">
        <v>94.823600725094423</v>
      </c>
      <c r="F13" s="21">
        <f>65+12.3682509496123</f>
        <v>77.368250949612303</v>
      </c>
      <c r="G13" s="22">
        <v>69.131663549789963</v>
      </c>
      <c r="H13" s="24">
        <v>95.530896127333023</v>
      </c>
      <c r="I13" s="22">
        <v>98.836953063502534</v>
      </c>
      <c r="J13" s="21">
        <f>65+6.98531255294957</f>
        <v>71.985312552949566</v>
      </c>
      <c r="K13" s="37">
        <v>68.145687914178694</v>
      </c>
      <c r="L13" s="24">
        <v>95.30579219445373</v>
      </c>
      <c r="M13" s="21">
        <v>5.8</v>
      </c>
      <c r="N13" s="23">
        <v>6.2</v>
      </c>
      <c r="O13" s="10"/>
    </row>
    <row r="14" spans="2:15" ht="15" thickBot="1" x14ac:dyDescent="0.4">
      <c r="B14" s="30" t="s">
        <v>33</v>
      </c>
      <c r="C14" s="30" t="s">
        <v>229</v>
      </c>
      <c r="D14" s="82">
        <v>141.86199999999999</v>
      </c>
      <c r="E14" s="22">
        <v>95.829830875784495</v>
      </c>
      <c r="F14" s="21">
        <f>65+10.8982783010113</f>
        <v>75.898278301011302</v>
      </c>
      <c r="G14" s="22">
        <v>56.267977319417305</v>
      </c>
      <c r="H14" s="24">
        <v>95.060399317000545</v>
      </c>
      <c r="I14" s="22">
        <v>106.03245692867716</v>
      </c>
      <c r="J14" s="21">
        <f>65+4.64091593120339</f>
        <v>69.640915931203395</v>
      </c>
      <c r="K14" s="22">
        <v>53.988045771149238</v>
      </c>
      <c r="L14" s="24">
        <v>104.95159159183861</v>
      </c>
      <c r="M14" s="21">
        <v>7.4</v>
      </c>
      <c r="N14" s="23">
        <v>6.3</v>
      </c>
      <c r="O14" s="10"/>
    </row>
    <row r="15" spans="2:15" x14ac:dyDescent="0.35">
      <c r="B15" s="38"/>
      <c r="C15" s="38"/>
    </row>
    <row r="16" spans="2:15" x14ac:dyDescent="0.35">
      <c r="B16" s="8"/>
      <c r="C16" s="8"/>
      <c r="D16" s="2"/>
      <c r="E16" s="1"/>
      <c r="F16" s="3"/>
      <c r="G16" s="3"/>
      <c r="H16" s="3"/>
      <c r="I16" s="4"/>
      <c r="J16" s="3"/>
    </row>
    <row r="17" spans="2:15" ht="18.5" x14ac:dyDescent="0.45">
      <c r="B17" s="14" t="s">
        <v>247</v>
      </c>
      <c r="C17" s="14"/>
    </row>
    <row r="18" spans="2:15" ht="15" thickBot="1" x14ac:dyDescent="0.4"/>
    <row r="19" spans="2:15" ht="14.25" customHeight="1" thickBot="1" x14ac:dyDescent="0.4">
      <c r="B19" s="118" t="s">
        <v>6</v>
      </c>
      <c r="C19" s="118" t="s">
        <v>227</v>
      </c>
      <c r="D19" s="118" t="s">
        <v>7</v>
      </c>
      <c r="E19" s="100" t="s">
        <v>8</v>
      </c>
      <c r="F19" s="101"/>
      <c r="G19" s="101"/>
      <c r="H19" s="102"/>
      <c r="I19" s="100" t="s">
        <v>0</v>
      </c>
      <c r="J19" s="101"/>
      <c r="K19" s="101"/>
      <c r="L19" s="102"/>
      <c r="M19" s="95" t="s">
        <v>215</v>
      </c>
      <c r="N19" s="88" t="s">
        <v>198</v>
      </c>
    </row>
    <row r="20" spans="2:15" ht="15" thickBot="1" x14ac:dyDescent="0.4">
      <c r="B20" s="118"/>
      <c r="C20" s="118"/>
      <c r="D20" s="118"/>
      <c r="E20" s="103"/>
      <c r="F20" s="104"/>
      <c r="G20" s="104"/>
      <c r="H20" s="105"/>
      <c r="I20" s="124"/>
      <c r="J20" s="140"/>
      <c r="K20" s="140"/>
      <c r="L20" s="141"/>
      <c r="M20" s="115"/>
      <c r="N20" s="132"/>
    </row>
    <row r="21" spans="2:15" ht="51.4" customHeight="1" thickBot="1" x14ac:dyDescent="0.4">
      <c r="B21" s="118"/>
      <c r="C21" s="118"/>
      <c r="D21" s="118"/>
      <c r="E21" s="98" t="s">
        <v>191</v>
      </c>
      <c r="F21" s="98" t="s">
        <v>216</v>
      </c>
      <c r="G21" s="98" t="s">
        <v>189</v>
      </c>
      <c r="H21" s="110" t="s">
        <v>217</v>
      </c>
      <c r="I21" s="98" t="s">
        <v>197</v>
      </c>
      <c r="J21" s="109" t="s">
        <v>10</v>
      </c>
      <c r="K21" s="95" t="s">
        <v>190</v>
      </c>
      <c r="L21" s="116" t="s">
        <v>262</v>
      </c>
      <c r="M21" s="96"/>
      <c r="N21" s="133"/>
      <c r="O21" s="13"/>
    </row>
    <row r="22" spans="2:15" ht="41.65" customHeight="1" thickBot="1" x14ac:dyDescent="0.4">
      <c r="B22" s="118"/>
      <c r="C22" s="118"/>
      <c r="D22" s="118"/>
      <c r="E22" s="112"/>
      <c r="F22" s="112"/>
      <c r="G22" s="112"/>
      <c r="H22" s="111"/>
      <c r="I22" s="112"/>
      <c r="J22" s="109"/>
      <c r="K22" s="96"/>
      <c r="L22" s="169"/>
      <c r="M22" s="138" t="s">
        <v>214</v>
      </c>
      <c r="N22" s="139"/>
    </row>
    <row r="23" spans="2:15" ht="15" thickBot="1" x14ac:dyDescent="0.4">
      <c r="B23" s="7" t="s">
        <v>3</v>
      </c>
      <c r="C23" s="135"/>
      <c r="D23" s="136"/>
      <c r="E23" s="136"/>
      <c r="F23" s="136"/>
      <c r="G23" s="136"/>
      <c r="H23" s="136"/>
      <c r="I23" s="136"/>
      <c r="J23" s="136"/>
      <c r="K23" s="136"/>
      <c r="L23" s="136"/>
      <c r="M23" s="136"/>
      <c r="N23" s="137"/>
    </row>
    <row r="24" spans="2:15" ht="15" thickBot="1" x14ac:dyDescent="0.4">
      <c r="B24" s="36" t="s">
        <v>34</v>
      </c>
      <c r="C24" s="36" t="s">
        <v>228</v>
      </c>
      <c r="D24" s="82">
        <v>143.20400000000001</v>
      </c>
      <c r="E24" s="22">
        <v>105.64727008572156</v>
      </c>
      <c r="F24" s="21">
        <f>65+11.8343549160722</f>
        <v>76.834354916072201</v>
      </c>
      <c r="G24" s="22">
        <v>65.120081222780854</v>
      </c>
      <c r="H24" s="24">
        <v>105.7844171091717</v>
      </c>
      <c r="I24" s="22">
        <v>105.17698441836073</v>
      </c>
      <c r="J24" s="21">
        <f>65+9.72822547130201</f>
        <v>74.728225471302011</v>
      </c>
      <c r="K24" s="37">
        <v>63.542325124342483</v>
      </c>
      <c r="L24" s="24">
        <v>102.94056555760423</v>
      </c>
      <c r="M24" s="21">
        <v>5.0999999999999996</v>
      </c>
      <c r="N24" s="21">
        <v>4.7</v>
      </c>
    </row>
    <row r="25" spans="2:15" ht="15" thickBot="1" x14ac:dyDescent="0.4">
      <c r="B25" s="36" t="s">
        <v>35</v>
      </c>
      <c r="C25" s="36" t="s">
        <v>228</v>
      </c>
      <c r="D25" s="82">
        <v>143.934</v>
      </c>
      <c r="E25" s="22">
        <v>100.87145952392589</v>
      </c>
      <c r="F25" s="21">
        <f>65+11.8098701249913</f>
        <v>76.809870124991306</v>
      </c>
      <c r="G25" s="22">
        <v>68.639465596974233</v>
      </c>
      <c r="H25" s="24">
        <v>100.86912044285849</v>
      </c>
      <c r="I25" s="22">
        <v>102.28312760577774</v>
      </c>
      <c r="J25" s="21">
        <f>65+6.80115061232355</f>
        <v>71.801150612323553</v>
      </c>
      <c r="K25" s="37">
        <v>68.815319837103175</v>
      </c>
      <c r="L25" s="24">
        <v>102.75071639159435</v>
      </c>
      <c r="M25" s="21">
        <v>5.6</v>
      </c>
      <c r="N25" s="21">
        <v>5.0999999999999996</v>
      </c>
    </row>
    <row r="26" spans="2:15" ht="15" thickBot="1" x14ac:dyDescent="0.4">
      <c r="B26" s="36" t="s">
        <v>36</v>
      </c>
      <c r="C26" s="36" t="s">
        <v>228</v>
      </c>
      <c r="D26" s="82">
        <v>144.274</v>
      </c>
      <c r="E26" s="22">
        <v>98.921787938829027</v>
      </c>
      <c r="F26" s="21">
        <f>65+10.7353860892832</f>
        <v>75.735386089283196</v>
      </c>
      <c r="G26" s="22">
        <v>67.077465594160586</v>
      </c>
      <c r="H26" s="24">
        <v>97.430315677547782</v>
      </c>
      <c r="I26" s="22">
        <v>102.80818382413347</v>
      </c>
      <c r="J26" s="21">
        <f>65+9.12068300122515</f>
        <v>74.120683001225146</v>
      </c>
      <c r="K26" s="37">
        <v>61.660517053790294</v>
      </c>
      <c r="L26" s="24">
        <v>99.164910820281094</v>
      </c>
      <c r="M26" s="21">
        <v>4.7</v>
      </c>
      <c r="N26" s="21">
        <v>5.3</v>
      </c>
    </row>
    <row r="27" spans="2:15" ht="15" thickBot="1" x14ac:dyDescent="0.4">
      <c r="B27" s="36" t="s">
        <v>37</v>
      </c>
      <c r="C27" s="36" t="s">
        <v>230</v>
      </c>
      <c r="D27" s="82">
        <v>144.72399999999999</v>
      </c>
      <c r="E27" s="22">
        <v>103.19379970444831</v>
      </c>
      <c r="F27" s="21">
        <f>65+12.065163785606</f>
        <v>77.065163785606003</v>
      </c>
      <c r="G27" s="22">
        <v>68.56046740370995</v>
      </c>
      <c r="H27" s="24">
        <v>103.40912103016997</v>
      </c>
      <c r="I27" s="22">
        <v>102.10396256538463</v>
      </c>
      <c r="J27" s="21">
        <f>65+7.81621219025486</f>
        <v>72.816212190254859</v>
      </c>
      <c r="K27" s="37">
        <v>66.433050877708908</v>
      </c>
      <c r="L27" s="24">
        <v>97.718029767529345</v>
      </c>
      <c r="M27" s="23">
        <v>6.2</v>
      </c>
      <c r="N27" s="23" t="s">
        <v>169</v>
      </c>
    </row>
    <row r="28" spans="2:15" ht="15" thickBot="1" x14ac:dyDescent="0.4">
      <c r="B28" s="36" t="s">
        <v>38</v>
      </c>
      <c r="C28" s="36" t="s">
        <v>228</v>
      </c>
      <c r="D28" s="82">
        <v>146.858</v>
      </c>
      <c r="E28" s="22">
        <v>103.7663809178472</v>
      </c>
      <c r="F28" s="21">
        <f>65+12.8224054239082</f>
        <v>77.822405423908208</v>
      </c>
      <c r="G28" s="22">
        <v>76.074255803683613</v>
      </c>
      <c r="H28" s="24">
        <v>104.90555395521488</v>
      </c>
      <c r="I28" s="22">
        <v>103.07865318550165</v>
      </c>
      <c r="J28" s="21">
        <f>65+9.40752708964168</f>
        <v>74.407527089641675</v>
      </c>
      <c r="K28" s="37">
        <v>68.689742325395287</v>
      </c>
      <c r="L28" s="24">
        <v>104.38765849319192</v>
      </c>
      <c r="M28" s="21">
        <v>6.3</v>
      </c>
      <c r="N28" s="23">
        <v>4.2</v>
      </c>
    </row>
    <row r="29" spans="2:15" ht="17.649999999999999" customHeight="1" thickBot="1" x14ac:dyDescent="0.4">
      <c r="B29" s="30" t="s">
        <v>39</v>
      </c>
      <c r="C29" s="36" t="s">
        <v>228</v>
      </c>
      <c r="D29" s="82">
        <v>148.30599999999998</v>
      </c>
      <c r="E29" s="22">
        <v>101.62315288780091</v>
      </c>
      <c r="F29" s="21">
        <f>65+12.3488632499337</f>
        <v>77.3488632499337</v>
      </c>
      <c r="G29" s="22">
        <v>67.679801697866679</v>
      </c>
      <c r="H29" s="24">
        <v>102.28883210932231</v>
      </c>
      <c r="I29" s="22">
        <v>101.04549698564283</v>
      </c>
      <c r="J29" s="21">
        <f>65+6.60734189430075</f>
        <v>71.607341894300745</v>
      </c>
      <c r="K29" s="37">
        <v>67.015280938345356</v>
      </c>
      <c r="L29" s="24">
        <v>102.40633803257761</v>
      </c>
      <c r="M29" s="21">
        <v>6.3</v>
      </c>
      <c r="N29" s="21">
        <v>3.8</v>
      </c>
    </row>
    <row r="30" spans="2:15" ht="15" thickBot="1" x14ac:dyDescent="0.4">
      <c r="B30" s="36" t="s">
        <v>40</v>
      </c>
      <c r="C30" s="36" t="s">
        <v>230</v>
      </c>
      <c r="D30" s="82">
        <v>148.33699999999999</v>
      </c>
      <c r="E30" s="22">
        <v>100.78067804452112</v>
      </c>
      <c r="F30" s="21">
        <f>65+11.1921722761425</f>
        <v>76.1921722761425</v>
      </c>
      <c r="G30" s="22">
        <v>69.771508982399354</v>
      </c>
      <c r="H30" s="24">
        <v>99.629541308194405</v>
      </c>
      <c r="I30" s="22">
        <v>100.84025594270233</v>
      </c>
      <c r="J30" s="21">
        <f>65+6.66450973223509</f>
        <v>71.664509732235089</v>
      </c>
      <c r="K30" s="37">
        <v>67.54317765607523</v>
      </c>
      <c r="L30" s="24">
        <v>103.33359539752172</v>
      </c>
      <c r="M30" s="21">
        <v>6.4</v>
      </c>
      <c r="N30" s="23">
        <v>4.5999999999999996</v>
      </c>
    </row>
    <row r="31" spans="2:15" ht="15" thickBot="1" x14ac:dyDescent="0.4">
      <c r="B31" s="36" t="s">
        <v>41</v>
      </c>
      <c r="C31" s="36" t="s">
        <v>228</v>
      </c>
      <c r="D31" s="82">
        <v>148.625</v>
      </c>
      <c r="E31" s="22">
        <v>98.41436425128245</v>
      </c>
      <c r="F31" s="21">
        <f>65+12.5449487963728</f>
        <v>77.544948796372807</v>
      </c>
      <c r="G31" s="22">
        <v>73.764715344038663</v>
      </c>
      <c r="H31" s="24">
        <v>99.266034259860277</v>
      </c>
      <c r="I31" s="22">
        <v>100.18907214880781</v>
      </c>
      <c r="J31" s="21">
        <f>65+7.14814211502842</f>
        <v>72.148142115028421</v>
      </c>
      <c r="K31" s="37">
        <v>69.742466785874626</v>
      </c>
      <c r="L31" s="24">
        <v>101.41277480180455</v>
      </c>
      <c r="M31" s="21">
        <v>5</v>
      </c>
      <c r="N31" s="21">
        <v>4.4000000000000004</v>
      </c>
    </row>
    <row r="32" spans="2:15" ht="15" thickBot="1" x14ac:dyDescent="0.4">
      <c r="B32" s="30" t="s">
        <v>42</v>
      </c>
      <c r="C32" s="36" t="s">
        <v>228</v>
      </c>
      <c r="D32" s="82">
        <v>149.08799999999999</v>
      </c>
      <c r="E32" s="22">
        <v>99.94069626149809</v>
      </c>
      <c r="F32" s="21">
        <f>65+12.1688493096906</f>
        <v>77.1688493096906</v>
      </c>
      <c r="G32" s="22">
        <v>68.006839156041963</v>
      </c>
      <c r="H32" s="24">
        <v>100.33993483087036</v>
      </c>
      <c r="I32" s="22">
        <v>101.47625736070763</v>
      </c>
      <c r="J32" s="21">
        <f>65+8.41158842012466</f>
        <v>73.411588420124659</v>
      </c>
      <c r="K32" s="22">
        <v>66.07112241326297</v>
      </c>
      <c r="L32" s="24">
        <v>101.83597545931818</v>
      </c>
      <c r="M32" s="21">
        <v>5.9</v>
      </c>
      <c r="N32" s="23">
        <v>4.3</v>
      </c>
    </row>
    <row r="33" spans="2:14" ht="15" thickBot="1" x14ac:dyDescent="0.4">
      <c r="B33" s="30" t="s">
        <v>43</v>
      </c>
      <c r="C33" s="36" t="s">
        <v>229</v>
      </c>
      <c r="D33" s="82">
        <v>149.82</v>
      </c>
      <c r="E33" s="22">
        <v>102.34874549043239</v>
      </c>
      <c r="F33" s="21">
        <f>65+10.6131931843029</f>
        <v>75.613193184302901</v>
      </c>
      <c r="G33" s="22">
        <v>66.837015229198599</v>
      </c>
      <c r="H33" s="24">
        <v>100.46547009738239</v>
      </c>
      <c r="I33" s="22">
        <v>100.37199957831783</v>
      </c>
      <c r="J33" s="21">
        <f>65+6.6693851854734</f>
        <v>71.669385185473402</v>
      </c>
      <c r="K33" s="37">
        <v>64.975394814458625</v>
      </c>
      <c r="L33" s="24">
        <v>101.00600341616448</v>
      </c>
      <c r="M33" s="21">
        <v>7.1</v>
      </c>
      <c r="N33" s="21">
        <v>4.8</v>
      </c>
    </row>
    <row r="34" spans="2:14" ht="16.899999999999999" customHeight="1" thickBot="1" x14ac:dyDescent="0.4">
      <c r="B34" s="30" t="s">
        <v>183</v>
      </c>
      <c r="C34" s="36" t="s">
        <v>230</v>
      </c>
      <c r="D34" s="82">
        <v>150.24599999999998</v>
      </c>
      <c r="E34" s="22">
        <v>107.39878777991788</v>
      </c>
      <c r="F34" s="21">
        <f>65+14.9284489124562</f>
        <v>79.928448912456204</v>
      </c>
      <c r="G34" s="22">
        <v>70.138781711869797</v>
      </c>
      <c r="H34" s="24">
        <v>110.61517583411143</v>
      </c>
      <c r="I34" s="22">
        <v>104.22059758401288</v>
      </c>
      <c r="J34" s="21">
        <f>65+9.66287219699605</f>
        <v>74.662872196996048</v>
      </c>
      <c r="K34" s="22">
        <v>68.813228753052456</v>
      </c>
      <c r="L34" s="24">
        <v>104.06203347460973</v>
      </c>
      <c r="M34" s="21">
        <v>6.2</v>
      </c>
      <c r="N34" s="23">
        <v>7.1</v>
      </c>
    </row>
    <row r="35" spans="2:14" ht="15.4" customHeight="1" thickBot="1" x14ac:dyDescent="0.4">
      <c r="B35" s="30" t="s">
        <v>44</v>
      </c>
      <c r="C35" s="36" t="s">
        <v>228</v>
      </c>
      <c r="D35" s="82">
        <v>150.26300000000001</v>
      </c>
      <c r="E35" s="22">
        <v>103.12386786027598</v>
      </c>
      <c r="F35" s="21">
        <f>65+12.3425815475016</f>
        <v>77.342581547501595</v>
      </c>
      <c r="G35" s="22">
        <v>71.482800524188278</v>
      </c>
      <c r="H35" s="24">
        <v>103.5367233267402</v>
      </c>
      <c r="I35" s="22">
        <v>102.81890601540202</v>
      </c>
      <c r="J35" s="21">
        <f>65+7.7403849272864</f>
        <v>72.740384927286399</v>
      </c>
      <c r="K35" s="37">
        <v>69.213493222520469</v>
      </c>
      <c r="L35" s="24">
        <v>103.05645834751834</v>
      </c>
      <c r="M35" s="21">
        <v>5.9</v>
      </c>
      <c r="N35" s="21">
        <v>5</v>
      </c>
    </row>
    <row r="36" spans="2:14" ht="13.9" customHeight="1" thickBot="1" x14ac:dyDescent="0.4">
      <c r="B36" s="30" t="s">
        <v>184</v>
      </c>
      <c r="C36" s="30" t="s">
        <v>230</v>
      </c>
      <c r="D36" s="82">
        <v>150.37200000000001</v>
      </c>
      <c r="E36" s="22">
        <v>102.64828224542394</v>
      </c>
      <c r="F36" s="21">
        <f>65+12.0101155791229</f>
        <v>77.010115579122896</v>
      </c>
      <c r="G36" s="22">
        <v>69.798448378536463</v>
      </c>
      <c r="H36" s="24">
        <v>102.58881116079284</v>
      </c>
      <c r="I36" s="22">
        <v>101.73255168186638</v>
      </c>
      <c r="J36" s="21">
        <f>65+7.46787219699604</f>
        <v>72.467872196996041</v>
      </c>
      <c r="K36" s="22">
        <v>66.757728753052461</v>
      </c>
      <c r="L36" s="24">
        <v>100.30948763484299</v>
      </c>
      <c r="M36" s="21">
        <v>6.7</v>
      </c>
      <c r="N36" s="23">
        <v>6.6</v>
      </c>
    </row>
    <row r="37" spans="2:14" ht="15" thickBot="1" x14ac:dyDescent="0.4">
      <c r="B37" s="12" t="s">
        <v>4</v>
      </c>
      <c r="C37" s="135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7"/>
    </row>
    <row r="38" spans="2:14" ht="15" thickBot="1" x14ac:dyDescent="0.4">
      <c r="B38" s="36" t="s">
        <v>45</v>
      </c>
      <c r="C38" s="36" t="s">
        <v>231</v>
      </c>
      <c r="D38" s="82">
        <v>141.58199999999999</v>
      </c>
      <c r="E38" s="22">
        <v>100.47043093540331</v>
      </c>
      <c r="F38" s="21">
        <f>65+11.5661295561347</f>
        <v>76.566129556134698</v>
      </c>
      <c r="G38" s="22">
        <v>60.400548566485938</v>
      </c>
      <c r="H38" s="24">
        <v>100.16294976283552</v>
      </c>
      <c r="I38" s="22">
        <v>106.17373266232093</v>
      </c>
      <c r="J38" s="21">
        <f>65+8.83271172409171</f>
        <v>73.832711724091709</v>
      </c>
      <c r="K38" s="37">
        <v>60.185486224959909</v>
      </c>
      <c r="L38" s="24">
        <v>106.2533030968219</v>
      </c>
      <c r="M38" s="21">
        <v>1.7</v>
      </c>
      <c r="N38" s="21">
        <v>6.7</v>
      </c>
    </row>
    <row r="39" spans="2:14" ht="15" thickBot="1" x14ac:dyDescent="0.4">
      <c r="B39" s="36" t="s">
        <v>46</v>
      </c>
      <c r="C39" s="36" t="s">
        <v>228</v>
      </c>
      <c r="D39" s="82">
        <v>143.41399999999999</v>
      </c>
      <c r="E39" s="22">
        <v>97.570723488915192</v>
      </c>
      <c r="F39" s="21">
        <f>65+11.9201902032335</f>
        <v>76.920190203233503</v>
      </c>
      <c r="G39" s="22">
        <v>65.275029490161657</v>
      </c>
      <c r="H39" s="24">
        <v>97.27937115895908</v>
      </c>
      <c r="I39" s="22">
        <v>105.92907955514292</v>
      </c>
      <c r="J39" s="21">
        <f>65+7.86492006654362</f>
        <v>72.864920066543618</v>
      </c>
      <c r="K39" s="37">
        <v>62.418503424944156</v>
      </c>
      <c r="L39" s="24">
        <v>109.79001147033615</v>
      </c>
      <c r="M39" s="21">
        <v>6.2</v>
      </c>
      <c r="N39" s="21">
        <v>5.0999999999999996</v>
      </c>
    </row>
    <row r="40" spans="2:14" ht="15" thickBot="1" x14ac:dyDescent="0.4">
      <c r="B40" s="36" t="s">
        <v>47</v>
      </c>
      <c r="C40" s="36" t="s">
        <v>230</v>
      </c>
      <c r="D40" s="82">
        <v>143.619</v>
      </c>
      <c r="E40" s="22">
        <v>98.526468289450307</v>
      </c>
      <c r="F40" s="21">
        <f>65+12.2751254692475</f>
        <v>77.275125469247499</v>
      </c>
      <c r="G40" s="22">
        <v>58.802561704502985</v>
      </c>
      <c r="H40" s="24">
        <v>98.988993156039044</v>
      </c>
      <c r="I40" s="22">
        <v>106.46565982090407</v>
      </c>
      <c r="J40" s="21">
        <f>65+7.44995134934962</f>
        <v>72.449951349349618</v>
      </c>
      <c r="K40" s="37">
        <v>58.899311288769781</v>
      </c>
      <c r="L40" s="24">
        <v>107.22433247571163</v>
      </c>
      <c r="M40" s="21">
        <v>4.9000000000000004</v>
      </c>
      <c r="N40" s="21">
        <v>6.7</v>
      </c>
    </row>
    <row r="41" spans="2:14" ht="15" thickBot="1" x14ac:dyDescent="0.4">
      <c r="B41" s="36" t="s">
        <v>50</v>
      </c>
      <c r="C41" s="36" t="s">
        <v>230</v>
      </c>
      <c r="D41" s="82">
        <v>143.9</v>
      </c>
      <c r="E41" s="22">
        <v>99.503609915210859</v>
      </c>
      <c r="F41" s="21">
        <f>65+11.8184971189393</f>
        <v>76.818497118939305</v>
      </c>
      <c r="G41" s="22">
        <v>64.624300737043257</v>
      </c>
      <c r="H41" s="24">
        <v>99.193964602714217</v>
      </c>
      <c r="I41" s="22">
        <v>107.50473927073797</v>
      </c>
      <c r="J41" s="21">
        <f>65+6.93454552358823</f>
        <v>71.934545523588227</v>
      </c>
      <c r="K41" s="37">
        <v>62.94005087770892</v>
      </c>
      <c r="L41" s="24">
        <v>110.93726367557487</v>
      </c>
      <c r="M41" s="23">
        <v>5.4</v>
      </c>
      <c r="N41" s="23" t="s">
        <v>169</v>
      </c>
    </row>
    <row r="42" spans="2:14" ht="15" thickBot="1" x14ac:dyDescent="0.4">
      <c r="B42" s="36" t="s">
        <v>48</v>
      </c>
      <c r="C42" s="36" t="s">
        <v>228</v>
      </c>
      <c r="D42" s="82">
        <v>143.947</v>
      </c>
      <c r="E42" s="22">
        <v>97.851855470398846</v>
      </c>
      <c r="F42" s="21">
        <f>65+11.3455227034746</f>
        <v>76.3455227034746</v>
      </c>
      <c r="G42" s="22">
        <v>66.488441077865346</v>
      </c>
      <c r="H42" s="24">
        <v>97.093380297316671</v>
      </c>
      <c r="I42" s="22">
        <v>102.2199784999937</v>
      </c>
      <c r="J42" s="21">
        <f>65+8.13433495180271</f>
        <v>73.134334951802714</v>
      </c>
      <c r="K42" s="37">
        <v>64.944470362046886</v>
      </c>
      <c r="L42" s="24">
        <v>103.84976074993621</v>
      </c>
      <c r="M42" s="21">
        <v>8</v>
      </c>
      <c r="N42" s="23">
        <v>5.2</v>
      </c>
    </row>
    <row r="43" spans="2:14" ht="14.65" customHeight="1" thickBot="1" x14ac:dyDescent="0.4">
      <c r="B43" s="30" t="s">
        <v>260</v>
      </c>
      <c r="C43" s="36" t="s">
        <v>230</v>
      </c>
      <c r="D43" s="82">
        <v>144.13999999999999</v>
      </c>
      <c r="E43" s="22">
        <v>98.752899338390534</v>
      </c>
      <c r="F43" s="21">
        <f>65+13.5701827739318</f>
        <v>78.570182773931805</v>
      </c>
      <c r="G43" s="22">
        <v>59.349436869364951</v>
      </c>
      <c r="H43" s="24">
        <v>100.80631670482434</v>
      </c>
      <c r="I43" s="22">
        <v>102.921617653216</v>
      </c>
      <c r="J43" s="21">
        <f>65+8.17657265683033</f>
        <v>73.176572656830331</v>
      </c>
      <c r="K43" s="37">
        <v>59.107644622103116</v>
      </c>
      <c r="L43" s="24">
        <v>106.55126169173495</v>
      </c>
      <c r="M43" s="23">
        <v>3.5</v>
      </c>
      <c r="N43" s="23">
        <v>6.3</v>
      </c>
    </row>
    <row r="44" spans="2:14" ht="15" thickBot="1" x14ac:dyDescent="0.4">
      <c r="B44" s="36" t="s">
        <v>49</v>
      </c>
      <c r="C44" s="36" t="s">
        <v>230</v>
      </c>
      <c r="D44" s="82">
        <v>144.214</v>
      </c>
      <c r="E44" s="22">
        <v>104.30900145069195</v>
      </c>
      <c r="F44" s="21">
        <f>65+11.6738389428092</f>
        <v>76.673838942809198</v>
      </c>
      <c r="G44" s="22">
        <v>59.646508982399347</v>
      </c>
      <c r="H44" s="24">
        <v>103.86050697318868</v>
      </c>
      <c r="I44" s="22">
        <v>105.94495226467228</v>
      </c>
      <c r="J44" s="21">
        <f>65+8.56228751001287</f>
        <v>73.562287510012865</v>
      </c>
      <c r="K44" s="37">
        <v>59.783344322741883</v>
      </c>
      <c r="L44" s="24">
        <v>108.4069997024574</v>
      </c>
      <c r="M44" s="21">
        <v>5</v>
      </c>
      <c r="N44" s="23">
        <v>6.1</v>
      </c>
    </row>
    <row r="45" spans="2:14" ht="15" thickBot="1" x14ac:dyDescent="0.4">
      <c r="B45" s="36" t="s">
        <v>51</v>
      </c>
      <c r="C45" s="36" t="s">
        <v>230</v>
      </c>
      <c r="D45" s="82">
        <v>146.59199999999998</v>
      </c>
      <c r="E45" s="22">
        <v>102.27622123111573</v>
      </c>
      <c r="F45" s="21">
        <f>65+10.5965564270803</f>
        <v>75.596556427080301</v>
      </c>
      <c r="G45" s="22">
        <v>69.961936647375538</v>
      </c>
      <c r="H45" s="24">
        <v>100.47786869142884</v>
      </c>
      <c r="I45" s="22">
        <v>103.84286146704841</v>
      </c>
      <c r="J45" s="21">
        <f>65+5.327318210608</f>
        <v>70.327318210607999</v>
      </c>
      <c r="K45" s="37">
        <v>66.552144622103128</v>
      </c>
      <c r="L45" s="24">
        <v>105.23720050520764</v>
      </c>
      <c r="M45" s="23">
        <v>5.7</v>
      </c>
      <c r="N45" s="23">
        <v>5.5</v>
      </c>
    </row>
    <row r="46" spans="2:14" ht="15" thickBot="1" x14ac:dyDescent="0.4">
      <c r="B46" s="36" t="s">
        <v>52</v>
      </c>
      <c r="C46" s="36" t="s">
        <v>229</v>
      </c>
      <c r="D46" s="82">
        <v>147.51400000000001</v>
      </c>
      <c r="E46" s="22">
        <v>99.158324819905573</v>
      </c>
      <c r="F46" s="21">
        <f>65+12.2069831948346</f>
        <v>77.206983194834606</v>
      </c>
      <c r="G46" s="22">
        <v>66.330866839900025</v>
      </c>
      <c r="H46" s="24">
        <v>99.462790641100639</v>
      </c>
      <c r="I46" s="22">
        <v>98.610462123069809</v>
      </c>
      <c r="J46" s="21">
        <f>65+9.82903318259162</f>
        <v>74.829033182591616</v>
      </c>
      <c r="K46" s="37">
        <v>63.263462962748513</v>
      </c>
      <c r="L46" s="24">
        <v>102.40984760356484</v>
      </c>
      <c r="M46" s="21">
        <v>7</v>
      </c>
      <c r="N46" s="21">
        <v>4.3</v>
      </c>
    </row>
    <row r="47" spans="2:14" ht="15" thickBot="1" x14ac:dyDescent="0.4">
      <c r="B47" s="36" t="s">
        <v>53</v>
      </c>
      <c r="C47" s="36" t="s">
        <v>230</v>
      </c>
      <c r="D47" s="82">
        <v>148.56299999999999</v>
      </c>
      <c r="E47" s="22">
        <v>99.383486065789668</v>
      </c>
      <c r="F47" s="21">
        <f>65+11.8931998049529</f>
        <v>76.8931998049529</v>
      </c>
      <c r="G47" s="22">
        <v>64.096671131214379</v>
      </c>
      <c r="H47" s="24">
        <v>99.489056693978199</v>
      </c>
      <c r="I47" s="22">
        <v>101.77322531840956</v>
      </c>
      <c r="J47" s="21">
        <f>65+7.19416959773547</f>
        <v>72.194169597735467</v>
      </c>
      <c r="K47" s="37">
        <v>64.141395750933128</v>
      </c>
      <c r="L47" s="24">
        <v>106.04804979826062</v>
      </c>
      <c r="M47" s="21">
        <v>3.7</v>
      </c>
      <c r="N47" s="21">
        <v>6.9</v>
      </c>
    </row>
    <row r="48" spans="2:14" ht="15" thickBot="1" x14ac:dyDescent="0.4">
      <c r="B48" s="52" t="s">
        <v>54</v>
      </c>
      <c r="C48" s="36" t="s">
        <v>228</v>
      </c>
      <c r="D48" s="82">
        <v>150.10599999999999</v>
      </c>
      <c r="E48" s="22">
        <v>105.07660424644592</v>
      </c>
      <c r="F48" s="21">
        <f>65+13.6291270776539</f>
        <v>78.629127077653905</v>
      </c>
      <c r="G48" s="22">
        <v>65.685441153000511</v>
      </c>
      <c r="H48" s="24">
        <v>107.23309593025688</v>
      </c>
      <c r="I48" s="22">
        <v>103.90079634035796</v>
      </c>
      <c r="J48" s="21">
        <f>65+9.21393393663232</f>
        <v>74.213933936632316</v>
      </c>
      <c r="K48" s="37">
        <v>61.193288735633523</v>
      </c>
      <c r="L48" s="24">
        <v>106.19397415003269</v>
      </c>
      <c r="M48" s="21">
        <v>4.8</v>
      </c>
      <c r="N48" s="23">
        <v>6.6</v>
      </c>
    </row>
    <row r="49" spans="1:16" ht="15" thickBot="1" x14ac:dyDescent="0.4">
      <c r="A49" s="11"/>
      <c r="B49" s="36" t="s">
        <v>55</v>
      </c>
      <c r="C49" s="36" t="s">
        <v>230</v>
      </c>
      <c r="D49" s="82">
        <v>150.61700000000002</v>
      </c>
      <c r="E49" s="22">
        <v>97.940081038338533</v>
      </c>
      <c r="F49" s="21">
        <f>65+10.9494397439124</f>
        <v>75.949439743912393</v>
      </c>
      <c r="G49" s="22">
        <v>64.479398440451888</v>
      </c>
      <c r="H49" s="24">
        <v>96.837456702996789</v>
      </c>
      <c r="I49" s="22">
        <v>101.06537470949827</v>
      </c>
      <c r="J49" s="21">
        <f>65+7.54543508338791</f>
        <v>72.545435083387915</v>
      </c>
      <c r="K49" s="37">
        <v>64.581840195377595</v>
      </c>
      <c r="L49" s="24">
        <v>103.91531481048911</v>
      </c>
      <c r="M49" s="23">
        <v>5.7</v>
      </c>
      <c r="N49" s="23">
        <v>5.8</v>
      </c>
      <c r="O49" s="11"/>
      <c r="P49" s="11"/>
    </row>
    <row r="50" spans="1:16" ht="15" thickBot="1" x14ac:dyDescent="0.4">
      <c r="B50" s="30" t="s">
        <v>56</v>
      </c>
      <c r="C50" s="36" t="s">
        <v>231</v>
      </c>
      <c r="D50" s="82">
        <v>151.03100000000001</v>
      </c>
      <c r="E50" s="22">
        <v>100.26544516087722</v>
      </c>
      <c r="F50" s="21">
        <f>65+12.0658444911638</f>
        <v>77.065844491163801</v>
      </c>
      <c r="G50" s="22">
        <v>61.445501245857429</v>
      </c>
      <c r="H50" s="24">
        <v>100.41983345005522</v>
      </c>
      <c r="I50" s="22">
        <v>101.97957260971599</v>
      </c>
      <c r="J50" s="21">
        <f>65+7.57886940362332</f>
        <v>72.578869403623315</v>
      </c>
      <c r="K50" s="22">
        <v>59.602650541125129</v>
      </c>
      <c r="L50" s="24">
        <v>103.32141013429758</v>
      </c>
      <c r="M50" s="21">
        <v>2.6</v>
      </c>
      <c r="N50" s="21">
        <v>6.4</v>
      </c>
    </row>
    <row r="51" spans="1:16" ht="15" thickBot="1" x14ac:dyDescent="0.4">
      <c r="A51" s="13"/>
      <c r="B51" s="36" t="s">
        <v>58</v>
      </c>
      <c r="C51" s="36" t="s">
        <v>230</v>
      </c>
      <c r="D51" s="82">
        <v>151.078</v>
      </c>
      <c r="E51" s="22">
        <v>95.70744861215168</v>
      </c>
      <c r="F51" s="21">
        <f>65+11.7339162759214</f>
        <v>76.733916275921402</v>
      </c>
      <c r="G51" s="22">
        <v>65.662193978096795</v>
      </c>
      <c r="H51" s="24">
        <v>95.283878206901775</v>
      </c>
      <c r="I51" s="22">
        <v>101.39343465364917</v>
      </c>
      <c r="J51" s="21">
        <f>65+8.17256169584935</f>
        <v>73.172561695849353</v>
      </c>
      <c r="K51" s="37">
        <v>62.300082566868063</v>
      </c>
      <c r="L51" s="24">
        <v>103.99422066967232</v>
      </c>
      <c r="M51" s="21">
        <v>6.3</v>
      </c>
      <c r="N51" s="23">
        <v>6.1</v>
      </c>
      <c r="O51" s="13"/>
      <c r="P51" s="13"/>
    </row>
    <row r="52" spans="1:16" ht="15" thickBot="1" x14ac:dyDescent="0.4">
      <c r="B52" s="36" t="s">
        <v>57</v>
      </c>
      <c r="C52" s="36" t="s">
        <v>231</v>
      </c>
      <c r="D52" s="82">
        <v>151.489</v>
      </c>
      <c r="E52" s="22">
        <v>95.876578551756026</v>
      </c>
      <c r="F52" s="21">
        <f>65+10.080819270837</f>
        <v>75.080819270836997</v>
      </c>
      <c r="G52" s="22">
        <v>61.50740053412688</v>
      </c>
      <c r="H52" s="24">
        <v>93.615649597144511</v>
      </c>
      <c r="I52" s="22">
        <v>103.4821637605485</v>
      </c>
      <c r="J52" s="21">
        <f>65+5.00943212266837</f>
        <v>70.009432122668372</v>
      </c>
      <c r="K52" s="37">
        <v>62.775995763311542</v>
      </c>
      <c r="L52" s="54">
        <v>109.35330605210973</v>
      </c>
      <c r="M52" s="21">
        <v>6</v>
      </c>
      <c r="N52" s="23">
        <v>6.2</v>
      </c>
    </row>
    <row r="53" spans="1:16" ht="15" thickBot="1" x14ac:dyDescent="0.4">
      <c r="B53" s="36" t="s">
        <v>59</v>
      </c>
      <c r="C53" s="36" t="s">
        <v>231</v>
      </c>
      <c r="D53" s="82">
        <v>152.02199999999999</v>
      </c>
      <c r="E53" s="22">
        <v>95.167704788253815</v>
      </c>
      <c r="F53" s="21">
        <f>65+12.8324034589532</f>
        <v>77.832403458953195</v>
      </c>
      <c r="G53" s="22">
        <v>62.944217608214707</v>
      </c>
      <c r="H53" s="24">
        <v>96.129431203079932</v>
      </c>
      <c r="I53" s="22">
        <v>96.989093512902286</v>
      </c>
      <c r="J53" s="21">
        <f>65+9.4913849272864</f>
        <v>74.491384927286404</v>
      </c>
      <c r="K53" s="22">
        <v>58.287049240433561</v>
      </c>
      <c r="L53" s="24">
        <v>104.86554079274599</v>
      </c>
      <c r="M53" s="21">
        <v>6.7</v>
      </c>
      <c r="N53" s="21">
        <v>6.8</v>
      </c>
    </row>
    <row r="54" spans="1:16" x14ac:dyDescent="0.35">
      <c r="B54" s="5" t="s">
        <v>261</v>
      </c>
    </row>
    <row r="55" spans="1:16" x14ac:dyDescent="0.35">
      <c r="B55" s="162"/>
      <c r="C55" s="162"/>
      <c r="D55" s="163"/>
      <c r="E55" s="164"/>
      <c r="F55" s="165"/>
      <c r="G55" s="164"/>
      <c r="H55" s="166"/>
      <c r="I55" s="164"/>
      <c r="J55" s="165"/>
      <c r="K55" s="164"/>
      <c r="L55" s="166"/>
      <c r="M55" s="165"/>
      <c r="N55" s="165"/>
    </row>
    <row r="56" spans="1:16" x14ac:dyDescent="0.35">
      <c r="A56" s="13"/>
      <c r="P56" s="13"/>
    </row>
    <row r="57" spans="1:16" ht="18.5" x14ac:dyDescent="0.45">
      <c r="B57" s="14" t="s">
        <v>248</v>
      </c>
      <c r="C57" s="14"/>
    </row>
    <row r="58" spans="1:16" ht="15" thickBot="1" x14ac:dyDescent="0.4"/>
    <row r="59" spans="1:16" ht="14.65" customHeight="1" thickBot="1" x14ac:dyDescent="0.4">
      <c r="B59" s="118" t="s">
        <v>6</v>
      </c>
      <c r="C59" s="95" t="s">
        <v>227</v>
      </c>
      <c r="D59" s="118" t="s">
        <v>7</v>
      </c>
      <c r="E59" s="100" t="s">
        <v>8</v>
      </c>
      <c r="F59" s="101"/>
      <c r="G59" s="101"/>
      <c r="H59" s="102"/>
      <c r="I59" s="100" t="s">
        <v>0</v>
      </c>
      <c r="J59" s="101"/>
      <c r="K59" s="101"/>
      <c r="L59" s="102"/>
      <c r="M59" s="95" t="s">
        <v>215</v>
      </c>
      <c r="N59" s="88" t="s">
        <v>198</v>
      </c>
    </row>
    <row r="60" spans="1:16" ht="15" thickBot="1" x14ac:dyDescent="0.4">
      <c r="B60" s="118"/>
      <c r="C60" s="115"/>
      <c r="D60" s="118"/>
      <c r="E60" s="103"/>
      <c r="F60" s="104"/>
      <c r="G60" s="104"/>
      <c r="H60" s="105"/>
      <c r="I60" s="124"/>
      <c r="J60" s="140"/>
      <c r="K60" s="140"/>
      <c r="L60" s="141"/>
      <c r="M60" s="115"/>
      <c r="N60" s="132"/>
    </row>
    <row r="61" spans="1:16" ht="14.65" customHeight="1" thickBot="1" x14ac:dyDescent="0.4">
      <c r="B61" s="118"/>
      <c r="C61" s="115"/>
      <c r="D61" s="118"/>
      <c r="E61" s="98" t="s">
        <v>191</v>
      </c>
      <c r="F61" s="95" t="s">
        <v>9</v>
      </c>
      <c r="G61" s="110" t="s">
        <v>189</v>
      </c>
      <c r="H61" s="110" t="s">
        <v>217</v>
      </c>
      <c r="I61" s="98" t="s">
        <v>197</v>
      </c>
      <c r="J61" s="109" t="s">
        <v>10</v>
      </c>
      <c r="K61" s="95" t="s">
        <v>190</v>
      </c>
      <c r="L61" s="116" t="s">
        <v>262</v>
      </c>
      <c r="M61" s="96"/>
      <c r="N61" s="133"/>
    </row>
    <row r="62" spans="1:16" ht="80.650000000000006" customHeight="1" thickBot="1" x14ac:dyDescent="0.4">
      <c r="B62" s="118"/>
      <c r="C62" s="96"/>
      <c r="D62" s="118"/>
      <c r="E62" s="112"/>
      <c r="F62" s="96"/>
      <c r="G62" s="113"/>
      <c r="H62" s="111"/>
      <c r="I62" s="112"/>
      <c r="J62" s="109"/>
      <c r="K62" s="96"/>
      <c r="L62" s="169"/>
      <c r="M62" s="138" t="s">
        <v>214</v>
      </c>
      <c r="N62" s="139"/>
      <c r="O62" s="78"/>
    </row>
    <row r="63" spans="1:16" ht="15" thickBot="1" x14ac:dyDescent="0.4">
      <c r="B63" s="12" t="s">
        <v>3</v>
      </c>
      <c r="C63" s="135"/>
      <c r="D63" s="136"/>
      <c r="E63" s="136"/>
      <c r="F63" s="136"/>
      <c r="G63" s="136"/>
      <c r="H63" s="136"/>
      <c r="I63" s="136"/>
      <c r="J63" s="136"/>
      <c r="K63" s="136"/>
      <c r="L63" s="136"/>
      <c r="M63" s="136"/>
      <c r="N63" s="137"/>
    </row>
    <row r="64" spans="1:16" ht="15" thickBot="1" x14ac:dyDescent="0.4">
      <c r="B64" s="36" t="s">
        <v>61</v>
      </c>
      <c r="C64" s="36" t="s">
        <v>230</v>
      </c>
      <c r="D64" s="82">
        <v>150.559</v>
      </c>
      <c r="E64" s="57">
        <v>101.02334149259922</v>
      </c>
      <c r="F64" s="58">
        <f>65+12.3955468023642</f>
        <v>77.395546802364194</v>
      </c>
      <c r="G64" s="22">
        <v>72.896598472343825</v>
      </c>
      <c r="H64" s="79">
        <v>101.96154277189328</v>
      </c>
      <c r="I64" s="22">
        <v>101.37051803095694</v>
      </c>
      <c r="J64" s="21">
        <f>65+7.92043870843372</f>
        <v>72.920438708433721</v>
      </c>
      <c r="K64" s="37">
        <v>70.228589286384477</v>
      </c>
      <c r="L64" s="24">
        <v>101.73105256797305</v>
      </c>
      <c r="M64" s="23">
        <v>6.5</v>
      </c>
      <c r="N64" s="23">
        <v>4.8</v>
      </c>
    </row>
    <row r="65" spans="2:15" ht="15" thickBot="1" x14ac:dyDescent="0.4">
      <c r="B65" s="36" t="s">
        <v>62</v>
      </c>
      <c r="C65" s="36" t="s">
        <v>230</v>
      </c>
      <c r="D65" s="82">
        <v>150.98500000000001</v>
      </c>
      <c r="E65" s="57">
        <v>97.439507925668494</v>
      </c>
      <c r="F65" s="58">
        <f>65+11.1750471856919</f>
        <v>76.175047185691895</v>
      </c>
      <c r="G65" s="22">
        <v>74.963386613559621</v>
      </c>
      <c r="H65" s="79">
        <v>96.716046669178752</v>
      </c>
      <c r="I65" s="22">
        <v>98.448667145379602</v>
      </c>
      <c r="J65" s="21">
        <f>65+8.64313626953121</f>
        <v>73.643136269531212</v>
      </c>
      <c r="K65" s="37">
        <v>67.476419680753125</v>
      </c>
      <c r="L65" s="24">
        <v>97.098022158363307</v>
      </c>
      <c r="M65" s="21">
        <v>7.2</v>
      </c>
      <c r="N65" s="21">
        <v>5.3</v>
      </c>
    </row>
    <row r="66" spans="2:15" ht="15" thickBot="1" x14ac:dyDescent="0.4">
      <c r="B66" s="36" t="s">
        <v>60</v>
      </c>
      <c r="C66" s="36" t="s">
        <v>230</v>
      </c>
      <c r="D66" s="82">
        <v>151.137</v>
      </c>
      <c r="E66" s="57">
        <v>111.3847947101885</v>
      </c>
      <c r="F66" s="58">
        <f>65+13.9764943569082</f>
        <v>78.976494356908205</v>
      </c>
      <c r="G66" s="22">
        <v>66.801470632091693</v>
      </c>
      <c r="H66" s="79">
        <v>114.97631411107884</v>
      </c>
      <c r="I66" s="22">
        <v>100.34384880678776</v>
      </c>
      <c r="J66" s="21">
        <f>65+11.289122009487</f>
        <v>76.289122009487002</v>
      </c>
      <c r="K66" s="37">
        <v>62.622430092371239</v>
      </c>
      <c r="L66" s="24">
        <v>104.02222980353334</v>
      </c>
      <c r="M66" s="23">
        <v>5.0999999999999996</v>
      </c>
      <c r="N66" s="23" t="s">
        <v>169</v>
      </c>
    </row>
    <row r="67" spans="2:15" ht="15" thickBot="1" x14ac:dyDescent="0.4">
      <c r="B67" s="36" t="s">
        <v>64</v>
      </c>
      <c r="C67" s="36" t="s">
        <v>228</v>
      </c>
      <c r="D67" s="82">
        <v>152.261</v>
      </c>
      <c r="E67" s="57">
        <v>101.98355707043815</v>
      </c>
      <c r="F67" s="58">
        <f>65+10.7389992821474</f>
        <v>75.738999282147404</v>
      </c>
      <c r="G67" s="22">
        <v>69.419519594368396</v>
      </c>
      <c r="H67" s="79">
        <v>100.653654151418</v>
      </c>
      <c r="I67" s="22">
        <v>99.054456918094957</v>
      </c>
      <c r="J67" s="21">
        <f>65+8.5295768313737</f>
        <v>73.529576831373703</v>
      </c>
      <c r="K67" s="37">
        <v>65.128856559380964</v>
      </c>
      <c r="L67" s="24">
        <v>96.377449913051151</v>
      </c>
      <c r="M67" s="21">
        <v>4.3</v>
      </c>
      <c r="N67" s="23">
        <v>4.2</v>
      </c>
    </row>
    <row r="68" spans="2:15" ht="15" thickBot="1" x14ac:dyDescent="0.4">
      <c r="B68" s="36" t="s">
        <v>63</v>
      </c>
      <c r="C68" s="36" t="s">
        <v>230</v>
      </c>
      <c r="D68" s="82">
        <v>152.43</v>
      </c>
      <c r="E68" s="57">
        <v>102.28229335877896</v>
      </c>
      <c r="F68" s="21">
        <f>65+13.8021417365787</f>
        <v>78.802141736578704</v>
      </c>
      <c r="G68" s="22">
        <v>70.522200094413492</v>
      </c>
      <c r="H68" s="24">
        <v>104.7365691980123</v>
      </c>
      <c r="I68" s="22">
        <v>97.531146129167155</v>
      </c>
      <c r="J68" s="21">
        <f>65+11.0454351018431</f>
        <v>76.045435101843097</v>
      </c>
      <c r="K68" s="37">
        <v>66.266457760331619</v>
      </c>
      <c r="L68" s="24">
        <v>98.596799320110122</v>
      </c>
      <c r="M68" s="23">
        <v>6.4</v>
      </c>
      <c r="N68" s="21">
        <v>4.0999999999999996</v>
      </c>
    </row>
    <row r="69" spans="2:15" ht="15" thickBot="1" x14ac:dyDescent="0.4">
      <c r="B69" s="36" t="s">
        <v>172</v>
      </c>
      <c r="C69" s="36" t="s">
        <v>230</v>
      </c>
      <c r="D69" s="82">
        <v>152.49200000000002</v>
      </c>
      <c r="E69" s="57">
        <v>101.14356321526687</v>
      </c>
      <c r="F69" s="21">
        <f>65+11.0940463555422</f>
        <v>76.094046355542204</v>
      </c>
      <c r="G69" s="22">
        <v>70.866637298758377</v>
      </c>
      <c r="H69" s="24">
        <v>99.443427947054445</v>
      </c>
      <c r="I69" s="22">
        <v>96.583094097288878</v>
      </c>
      <c r="J69" s="21">
        <f>65+8.4107886761537</f>
        <v>73.4107886761537</v>
      </c>
      <c r="K69" s="37">
        <v>67.731596759037899</v>
      </c>
      <c r="L69" s="24">
        <v>96.033591611833288</v>
      </c>
      <c r="M69" s="21">
        <v>7.2</v>
      </c>
      <c r="N69" s="23" t="s">
        <v>169</v>
      </c>
    </row>
    <row r="70" spans="2:15" ht="15" thickBot="1" x14ac:dyDescent="0.4">
      <c r="B70" s="36" t="s">
        <v>65</v>
      </c>
      <c r="C70" s="36" t="s">
        <v>230</v>
      </c>
      <c r="D70" s="82">
        <v>152.56100000000001</v>
      </c>
      <c r="E70" s="57">
        <v>97.229670447184589</v>
      </c>
      <c r="F70" s="21">
        <f>65+11.4118557832224</f>
        <v>76.411855783222393</v>
      </c>
      <c r="G70" s="22">
        <v>76.638137298758366</v>
      </c>
      <c r="H70" s="24">
        <v>97.184271663798214</v>
      </c>
      <c r="I70" s="22">
        <v>97.454341354141846</v>
      </c>
      <c r="J70" s="21">
        <f>65+7.82578867615369</f>
        <v>72.825788676153692</v>
      </c>
      <c r="K70" s="37">
        <v>69.827763425704589</v>
      </c>
      <c r="L70" s="24">
        <v>96.840017873548263</v>
      </c>
      <c r="M70" s="21">
        <v>6.5</v>
      </c>
      <c r="N70" s="23" t="s">
        <v>169</v>
      </c>
    </row>
    <row r="71" spans="2:15" ht="15" thickBot="1" x14ac:dyDescent="0.4">
      <c r="B71" s="36" t="s">
        <v>68</v>
      </c>
      <c r="C71" s="36" t="s">
        <v>230</v>
      </c>
      <c r="D71" s="82">
        <v>152.92700000000002</v>
      </c>
      <c r="E71" s="57">
        <v>106.36693683512389</v>
      </c>
      <c r="F71" s="21">
        <f>65+11.6418557832224</f>
        <v>76.641855783222397</v>
      </c>
      <c r="G71" s="22">
        <v>64.320303965425026</v>
      </c>
      <c r="H71" s="24">
        <v>106.51452905933968</v>
      </c>
      <c r="I71" s="22">
        <v>103.19710959386697</v>
      </c>
      <c r="J71" s="21">
        <f>65+10.7757886761537</f>
        <v>75.775788676153695</v>
      </c>
      <c r="K71" s="37">
        <v>62.365930092371251</v>
      </c>
      <c r="L71" s="24">
        <v>106.43686991574164</v>
      </c>
      <c r="M71" s="23">
        <v>4.9000000000000004</v>
      </c>
      <c r="N71" s="23" t="s">
        <v>169</v>
      </c>
    </row>
    <row r="72" spans="2:15" ht="15" thickBot="1" x14ac:dyDescent="0.4">
      <c r="B72" s="36" t="s">
        <v>66</v>
      </c>
      <c r="C72" s="36" t="s">
        <v>228</v>
      </c>
      <c r="D72" s="82">
        <v>152.93099999999998</v>
      </c>
      <c r="E72" s="57">
        <v>95.413080992640005</v>
      </c>
      <c r="F72" s="21">
        <f>65+10.3081929358436</f>
        <v>75.308192935843607</v>
      </c>
      <c r="G72" s="22">
        <v>70.768502153988393</v>
      </c>
      <c r="H72" s="24">
        <v>93.89592642337422</v>
      </c>
      <c r="I72" s="22">
        <v>94.980835495970766</v>
      </c>
      <c r="J72" s="21">
        <f>65+7.6411077460772</f>
        <v>72.641107746077196</v>
      </c>
      <c r="K72" s="37">
        <v>66.95044792269826</v>
      </c>
      <c r="L72" s="24">
        <v>94.110841971488469</v>
      </c>
      <c r="M72" s="21">
        <v>6.8</v>
      </c>
      <c r="N72" s="21">
        <v>4.5999999999999996</v>
      </c>
    </row>
    <row r="73" spans="2:15" ht="15" thickBot="1" x14ac:dyDescent="0.4">
      <c r="B73" s="36" t="s">
        <v>67</v>
      </c>
      <c r="C73" s="36" t="s">
        <v>229</v>
      </c>
      <c r="D73" s="82">
        <v>153.05799999999999</v>
      </c>
      <c r="E73" s="57">
        <v>99.32932933607016</v>
      </c>
      <c r="F73" s="21">
        <f>65+12.0022936750114</f>
        <v>77.002293675011401</v>
      </c>
      <c r="G73" s="22">
        <v>71.999335680434982</v>
      </c>
      <c r="H73" s="24">
        <v>99.712970238500205</v>
      </c>
      <c r="I73" s="22">
        <v>100.24722162073749</v>
      </c>
      <c r="J73" s="21">
        <f>65+9.84750150076749</f>
        <v>74.847501500767493</v>
      </c>
      <c r="K73" s="37">
        <v>68.94740969115756</v>
      </c>
      <c r="L73" s="24">
        <v>101.41564330906191</v>
      </c>
      <c r="M73" s="23">
        <v>2.9</v>
      </c>
      <c r="N73" s="23">
        <v>4.2</v>
      </c>
    </row>
    <row r="74" spans="2:15" ht="15" thickBot="1" x14ac:dyDescent="0.4">
      <c r="B74" s="36" t="s">
        <v>69</v>
      </c>
      <c r="C74" s="36" t="s">
        <v>231</v>
      </c>
      <c r="D74" s="82">
        <v>153.11000000000001</v>
      </c>
      <c r="E74" s="57">
        <v>102.03796016527178</v>
      </c>
      <c r="F74" s="58">
        <f>65+9.75759324908351</f>
        <v>74.757593249083513</v>
      </c>
      <c r="G74" s="22">
        <v>64.437607242695606</v>
      </c>
      <c r="H74" s="79">
        <v>99.809428508785672</v>
      </c>
      <c r="I74" s="22">
        <v>101.67596045953788</v>
      </c>
      <c r="J74" s="21">
        <f>65+6.99705511600537</f>
        <v>71.99705511600537</v>
      </c>
      <c r="K74" s="37">
        <v>62.810580338669219</v>
      </c>
      <c r="L74" s="24">
        <v>101.04580338617791</v>
      </c>
      <c r="M74" s="21">
        <v>6.8</v>
      </c>
      <c r="N74" s="21">
        <v>4.3</v>
      </c>
    </row>
    <row r="75" spans="2:15" ht="15" thickBot="1" x14ac:dyDescent="0.4">
      <c r="B75" s="36" t="s">
        <v>181</v>
      </c>
      <c r="C75" s="36" t="s">
        <v>230</v>
      </c>
      <c r="D75" s="82">
        <v>153.70400000000001</v>
      </c>
      <c r="E75" s="57">
        <v>104.34663757114079</v>
      </c>
      <c r="F75" s="58">
        <f>65+10.7422020411477</f>
        <v>75.742202041147692</v>
      </c>
      <c r="G75" s="22">
        <v>71.321589231619569</v>
      </c>
      <c r="H75" s="79">
        <v>103.18957741606464</v>
      </c>
      <c r="I75" s="22">
        <v>103.08646554519937</v>
      </c>
      <c r="J75" s="21">
        <f>65+9.0991268193241</f>
        <v>74.099126819324098</v>
      </c>
      <c r="K75" s="22">
        <v>67.02691367200255</v>
      </c>
      <c r="L75" s="24">
        <v>102.73916412994565</v>
      </c>
      <c r="M75" s="21">
        <v>6.3</v>
      </c>
      <c r="N75" s="23">
        <v>4.9000000000000004</v>
      </c>
    </row>
    <row r="76" spans="2:15" ht="15" thickBot="1" x14ac:dyDescent="0.4">
      <c r="B76" s="36" t="s">
        <v>73</v>
      </c>
      <c r="C76" s="36" t="s">
        <v>229</v>
      </c>
      <c r="D76" s="82">
        <v>153.739</v>
      </c>
      <c r="E76" s="57">
        <v>99.106577732886166</v>
      </c>
      <c r="F76" s="58">
        <f>65+10.4447075541889</f>
        <v>75.444707554188895</v>
      </c>
      <c r="G76" s="22">
        <v>65.776617361746702</v>
      </c>
      <c r="H76" s="79">
        <v>97.411539418356284</v>
      </c>
      <c r="I76" s="22">
        <v>94.713564813003188</v>
      </c>
      <c r="J76" s="21">
        <f>65+8.0064261450519</f>
        <v>73.006426145051904</v>
      </c>
      <c r="K76" s="37">
        <v>62.297836347419782</v>
      </c>
      <c r="L76" s="24">
        <v>95.135743404607666</v>
      </c>
      <c r="M76" s="21">
        <v>7</v>
      </c>
      <c r="N76" s="21">
        <v>4</v>
      </c>
    </row>
    <row r="77" spans="2:15" ht="15" thickBot="1" x14ac:dyDescent="0.4">
      <c r="B77" s="36" t="s">
        <v>70</v>
      </c>
      <c r="C77" s="36" t="s">
        <v>230</v>
      </c>
      <c r="D77" s="82">
        <v>153.78300000000002</v>
      </c>
      <c r="E77" s="57">
        <v>99.415937597631213</v>
      </c>
      <c r="F77" s="58">
        <f>65+11.1418565999066</f>
        <v>76.141856599906603</v>
      </c>
      <c r="G77" s="22">
        <v>69.86923387832671</v>
      </c>
      <c r="H77" s="79">
        <v>97.481936043628536</v>
      </c>
      <c r="I77" s="22">
        <v>98.573258639709096</v>
      </c>
      <c r="J77" s="21">
        <f>65+8.38817701441918</f>
        <v>73.388177014419185</v>
      </c>
      <c r="K77" s="37">
        <v>66.399164291475472</v>
      </c>
      <c r="L77" s="24">
        <v>98.637433467494773</v>
      </c>
      <c r="M77" s="23">
        <v>6.1</v>
      </c>
      <c r="N77" s="21">
        <v>4.8</v>
      </c>
    </row>
    <row r="78" spans="2:15" ht="15" thickBot="1" x14ac:dyDescent="0.4">
      <c r="B78" s="36" t="s">
        <v>72</v>
      </c>
      <c r="C78" s="36" t="s">
        <v>228</v>
      </c>
      <c r="D78" s="82">
        <v>154.018</v>
      </c>
      <c r="E78" s="57">
        <v>98.060990412585838</v>
      </c>
      <c r="F78" s="58">
        <f>65+11.2700342762727</f>
        <v>76.270034276272696</v>
      </c>
      <c r="G78" s="22">
        <v>70.325519634384392</v>
      </c>
      <c r="H78" s="79">
        <v>97.356285934093506</v>
      </c>
      <c r="I78" s="22">
        <v>97.770663857159946</v>
      </c>
      <c r="J78" s="21">
        <f>65+7.99078447681978</f>
        <v>72.990784476819783</v>
      </c>
      <c r="K78" s="37">
        <v>67.140618233268412</v>
      </c>
      <c r="L78" s="24">
        <v>96.307849663628616</v>
      </c>
      <c r="M78" s="23">
        <v>4.9000000000000004</v>
      </c>
      <c r="N78" s="23">
        <v>4.9000000000000004</v>
      </c>
    </row>
    <row r="79" spans="2:15" ht="15" thickBot="1" x14ac:dyDescent="0.4">
      <c r="B79" s="36" t="s">
        <v>71</v>
      </c>
      <c r="C79" s="36" t="s">
        <v>228</v>
      </c>
      <c r="D79" s="82">
        <v>154.047</v>
      </c>
      <c r="E79" s="57">
        <v>99.486657675702617</v>
      </c>
      <c r="F79" s="58">
        <f>65+12.5451929358436</f>
        <v>77.545192935843602</v>
      </c>
      <c r="G79" s="22">
        <v>73.96830215398839</v>
      </c>
      <c r="H79" s="79">
        <v>100.73074738591212</v>
      </c>
      <c r="I79" s="22">
        <v>94.549831352246926</v>
      </c>
      <c r="J79" s="21">
        <f>65+8.89110774607721</f>
        <v>73.891107746077211</v>
      </c>
      <c r="K79" s="37">
        <v>71.53364792269825</v>
      </c>
      <c r="L79" s="24">
        <v>94.478140528549858</v>
      </c>
      <c r="M79" s="21">
        <v>5.8</v>
      </c>
      <c r="N79" s="21">
        <v>3.7</v>
      </c>
      <c r="O79" s="13"/>
    </row>
    <row r="80" spans="2:15" ht="15" thickBot="1" x14ac:dyDescent="0.4">
      <c r="B80" s="36" t="s">
        <v>74</v>
      </c>
      <c r="C80" s="36" t="s">
        <v>228</v>
      </c>
      <c r="D80" s="82">
        <v>154.46299999999999</v>
      </c>
      <c r="E80" s="57">
        <v>95.689364339303054</v>
      </c>
      <c r="F80" s="58">
        <f>65+11.8159219062341</f>
        <v>76.815921906234095</v>
      </c>
      <c r="G80" s="22">
        <v>68.640847898592824</v>
      </c>
      <c r="H80" s="79">
        <v>96.020496374883749</v>
      </c>
      <c r="I80" s="22">
        <v>91.576270485888514</v>
      </c>
      <c r="J80" s="21">
        <f>65+9.82121653816303</f>
        <v>74.821216538163029</v>
      </c>
      <c r="K80" s="37">
        <v>61.992505530659244</v>
      </c>
      <c r="L80" s="24">
        <v>89.579013296834205</v>
      </c>
      <c r="M80" s="21">
        <v>4.9000000000000004</v>
      </c>
      <c r="N80" s="21">
        <v>4.8</v>
      </c>
    </row>
    <row r="81" spans="1:16" ht="15" thickBot="1" x14ac:dyDescent="0.4">
      <c r="A81" s="11"/>
      <c r="B81" s="36" t="s">
        <v>75</v>
      </c>
      <c r="C81" s="36" t="s">
        <v>228</v>
      </c>
      <c r="D81" s="82">
        <v>154.648</v>
      </c>
      <c r="E81" s="57">
        <v>97.807185607828387</v>
      </c>
      <c r="F81" s="58">
        <f>65+11.4324437576206</f>
        <v>76.432443757620604</v>
      </c>
      <c r="G81" s="22">
        <v>71.164257537632565</v>
      </c>
      <c r="H81" s="79">
        <v>97.511116472703122</v>
      </c>
      <c r="I81" s="22">
        <v>99.040572018629433</v>
      </c>
      <c r="J81" s="21">
        <f>65+8.89672436153374</f>
        <v>73.896724361533742</v>
      </c>
      <c r="K81" s="37">
        <v>64.982198702648347</v>
      </c>
      <c r="L81" s="24">
        <v>100.87146115879757</v>
      </c>
      <c r="M81" s="21">
        <v>6.4</v>
      </c>
      <c r="N81" s="23">
        <v>4.3</v>
      </c>
      <c r="O81" s="11"/>
      <c r="P81" s="11"/>
    </row>
    <row r="82" spans="1:16" ht="15" thickBot="1" x14ac:dyDescent="0.4">
      <c r="B82" s="36" t="s">
        <v>77</v>
      </c>
      <c r="C82" s="36" t="s">
        <v>230</v>
      </c>
      <c r="D82" s="82">
        <v>155.68899999999999</v>
      </c>
      <c r="E82" s="57">
        <v>98.764098128098084</v>
      </c>
      <c r="F82" s="58">
        <f>65+10.774145044353</f>
        <v>75.774145044353006</v>
      </c>
      <c r="G82" s="22">
        <v>72.385463495036262</v>
      </c>
      <c r="H82" s="79">
        <v>97.688945502313217</v>
      </c>
      <c r="I82" s="22">
        <v>95.823094050012031</v>
      </c>
      <c r="J82" s="21">
        <f>65+7.54608201610482</f>
        <v>72.546082016104819</v>
      </c>
      <c r="K82" s="37">
        <v>67.107419680753111</v>
      </c>
      <c r="L82" s="24">
        <v>94.926437775804089</v>
      </c>
      <c r="M82" s="23">
        <v>4.5</v>
      </c>
      <c r="N82" s="21">
        <v>5.4</v>
      </c>
    </row>
    <row r="83" spans="1:16" ht="15" thickBot="1" x14ac:dyDescent="0.4">
      <c r="B83" s="36" t="s">
        <v>76</v>
      </c>
      <c r="C83" s="36" t="s">
        <v>230</v>
      </c>
      <c r="D83" s="82">
        <v>155.76499999999999</v>
      </c>
      <c r="E83" s="57">
        <v>97.300869390421767</v>
      </c>
      <c r="F83" s="58">
        <f>65+11.3768442336308</f>
        <v>76.376844233630806</v>
      </c>
      <c r="G83" s="22">
        <v>76.44647332516395</v>
      </c>
      <c r="H83" s="79">
        <v>97.063523353191854</v>
      </c>
      <c r="I83" s="22">
        <v>93.816557450727146</v>
      </c>
      <c r="J83" s="21">
        <f>65+9.10665178324102</f>
        <v>74.10665178324102</v>
      </c>
      <c r="K83" s="37">
        <v>72.45558928638448</v>
      </c>
      <c r="L83" s="24">
        <v>96.608138241015368</v>
      </c>
      <c r="M83" s="23">
        <v>6.7</v>
      </c>
      <c r="N83" s="23">
        <v>5.0999999999999996</v>
      </c>
    </row>
    <row r="84" spans="1:16" ht="15" thickBot="1" x14ac:dyDescent="0.4">
      <c r="B84" s="36" t="s">
        <v>78</v>
      </c>
      <c r="C84" s="36" t="s">
        <v>230</v>
      </c>
      <c r="D84" s="82">
        <v>156.18200000000002</v>
      </c>
      <c r="E84" s="57">
        <v>103.61718866374184</v>
      </c>
      <c r="F84" s="58">
        <f>65+10.4949285848803</f>
        <v>75.494928584880299</v>
      </c>
      <c r="G84" s="22">
        <v>65.172900544993368</v>
      </c>
      <c r="H84" s="79">
        <v>101.47029644659831</v>
      </c>
      <c r="I84" s="22">
        <v>98.823155517739934</v>
      </c>
      <c r="J84" s="21">
        <f>65+8.30262145886364</f>
        <v>73.302621458863641</v>
      </c>
      <c r="K84" s="37">
        <v>64.067164291475464</v>
      </c>
      <c r="L84" s="24">
        <v>96.904912553360077</v>
      </c>
      <c r="M84" s="23">
        <v>6.1</v>
      </c>
      <c r="N84" s="21">
        <v>4.4000000000000004</v>
      </c>
    </row>
    <row r="85" spans="1:16" ht="15" thickBot="1" x14ac:dyDescent="0.4">
      <c r="B85" s="36" t="s">
        <v>80</v>
      </c>
      <c r="C85" s="36" t="s">
        <v>231</v>
      </c>
      <c r="D85" s="82">
        <v>156.51300000000001</v>
      </c>
      <c r="E85" s="57">
        <v>97.807185637001012</v>
      </c>
      <c r="F85" s="58">
        <f>65+9.92468041795878</f>
        <v>74.924680417958783</v>
      </c>
      <c r="G85" s="22">
        <v>74.426166549296099</v>
      </c>
      <c r="H85" s="79">
        <v>95.598695759311752</v>
      </c>
      <c r="I85" s="22">
        <v>94.97313769797519</v>
      </c>
      <c r="J85" s="21">
        <f>65+7.71093334060056</f>
        <v>72.710933340600562</v>
      </c>
      <c r="K85" s="37">
        <v>67.586337301135941</v>
      </c>
      <c r="L85" s="24">
        <v>95.622290540703332</v>
      </c>
      <c r="M85" s="23">
        <v>6.9</v>
      </c>
      <c r="N85" s="21">
        <v>4.5999999999999996</v>
      </c>
    </row>
    <row r="86" spans="1:16" ht="15" thickBot="1" x14ac:dyDescent="0.4">
      <c r="B86" s="36" t="s">
        <v>79</v>
      </c>
      <c r="C86" s="36" t="s">
        <v>228</v>
      </c>
      <c r="D86" s="82">
        <v>156.62</v>
      </c>
      <c r="E86" s="57">
        <v>105.38820732687495</v>
      </c>
      <c r="F86" s="58">
        <f>65+12.251393271283</f>
        <v>77.251393271283007</v>
      </c>
      <c r="G86" s="22">
        <v>69.123904258966434</v>
      </c>
      <c r="H86" s="79">
        <v>106.24910141312262</v>
      </c>
      <c r="I86" s="22">
        <v>98.164976810550556</v>
      </c>
      <c r="J86" s="21">
        <f>65+7.54344396928964</f>
        <v>72.54344396928964</v>
      </c>
      <c r="K86" s="37">
        <v>63.424888855475785</v>
      </c>
      <c r="L86" s="24">
        <v>99.381419597271204</v>
      </c>
      <c r="M86" s="21">
        <v>5.4</v>
      </c>
      <c r="N86" s="23">
        <v>4.8</v>
      </c>
    </row>
    <row r="87" spans="1:16" ht="15" thickBot="1" x14ac:dyDescent="0.4">
      <c r="B87" s="36" t="s">
        <v>196</v>
      </c>
      <c r="C87" s="36" t="s">
        <v>230</v>
      </c>
      <c r="D87" s="82">
        <v>157.352</v>
      </c>
      <c r="E87" s="22">
        <v>103.36620483381836</v>
      </c>
      <c r="F87" s="58">
        <f>65+10.362270858707</f>
        <v>75.362270858707006</v>
      </c>
      <c r="G87" s="22">
        <v>66.593567211660044</v>
      </c>
      <c r="H87" s="79">
        <v>102.14368128726036</v>
      </c>
      <c r="I87" s="22">
        <v>96.779776427774294</v>
      </c>
      <c r="J87" s="21">
        <f>65+7.70595479219696</f>
        <v>72.705954792196962</v>
      </c>
      <c r="K87" s="37">
        <v>62.956830958142127</v>
      </c>
      <c r="L87" s="24">
        <v>95.021330209455613</v>
      </c>
      <c r="M87" s="21">
        <v>5.5</v>
      </c>
      <c r="N87" s="21">
        <v>5.0999999999999996</v>
      </c>
    </row>
    <row r="88" spans="1:16" ht="15" thickBot="1" x14ac:dyDescent="0.4">
      <c r="B88" s="36" t="s">
        <v>82</v>
      </c>
      <c r="C88" s="36" t="s">
        <v>230</v>
      </c>
      <c r="D88" s="82">
        <v>157.53399999999999</v>
      </c>
      <c r="E88" s="22">
        <v>108.8584019941835</v>
      </c>
      <c r="F88" s="58">
        <f>65+11.2240190461763</f>
        <v>76.224019046176295</v>
      </c>
      <c r="G88" s="22">
        <v>65.581848432041937</v>
      </c>
      <c r="H88" s="79">
        <v>108.19507351418198</v>
      </c>
      <c r="I88" s="22">
        <v>100.37871232524982</v>
      </c>
      <c r="J88" s="21">
        <f>65+7.13534611888559</f>
        <v>72.135346118885593</v>
      </c>
      <c r="K88" s="37">
        <v>62.097589286384483</v>
      </c>
      <c r="L88" s="24">
        <v>96.241753106850524</v>
      </c>
      <c r="M88" s="23">
        <v>7</v>
      </c>
      <c r="N88" s="23">
        <v>5.5</v>
      </c>
    </row>
    <row r="89" spans="1:16" ht="15" thickBot="1" x14ac:dyDescent="0.4">
      <c r="B89" s="36" t="s">
        <v>81</v>
      </c>
      <c r="C89" s="36" t="s">
        <v>229</v>
      </c>
      <c r="D89" s="82">
        <v>157.80200000000002</v>
      </c>
      <c r="E89" s="22">
        <v>98.595226440116079</v>
      </c>
      <c r="F89" s="58">
        <f>65+9.71162024944351</f>
        <v>74.711620249443513</v>
      </c>
      <c r="G89" s="22">
        <v>73.687062926775042</v>
      </c>
      <c r="H89" s="79">
        <v>96.236845305606465</v>
      </c>
      <c r="I89" s="22">
        <v>93.739065276726748</v>
      </c>
      <c r="J89" s="21">
        <f>65+7.76480658665385</f>
        <v>72.764806586653847</v>
      </c>
      <c r="K89" s="37">
        <v>68.923298580046449</v>
      </c>
      <c r="L89" s="24">
        <v>90.978282806283786</v>
      </c>
      <c r="M89" s="23">
        <v>6.9</v>
      </c>
      <c r="N89" s="23">
        <v>4.5999999999999996</v>
      </c>
    </row>
    <row r="90" spans="1:16" ht="15" thickBot="1" x14ac:dyDescent="0.4">
      <c r="B90" s="36" t="s">
        <v>83</v>
      </c>
      <c r="C90" s="36" t="s">
        <v>228</v>
      </c>
      <c r="D90" s="82">
        <v>157.97300000000001</v>
      </c>
      <c r="E90" s="22">
        <v>96.621165976253934</v>
      </c>
      <c r="F90" s="58">
        <f>65+13.6551109420682</f>
        <v>78.655110942068205</v>
      </c>
      <c r="G90" s="22">
        <v>76.090123361080416</v>
      </c>
      <c r="H90" s="79">
        <v>98.932460990741973</v>
      </c>
      <c r="I90" s="22">
        <v>90.253854230329949</v>
      </c>
      <c r="J90" s="21">
        <f>65+8.99995354593715</f>
        <v>73.999953545937146</v>
      </c>
      <c r="K90" s="37">
        <v>71.932416635838891</v>
      </c>
      <c r="L90" s="24">
        <v>91.875091363604284</v>
      </c>
      <c r="M90" s="23">
        <v>6.4</v>
      </c>
      <c r="N90" s="23">
        <v>4.5999999999999996</v>
      </c>
    </row>
    <row r="91" spans="1:16" ht="15" thickBot="1" x14ac:dyDescent="0.4">
      <c r="B91" s="36" t="s">
        <v>84</v>
      </c>
      <c r="C91" s="36" t="s">
        <v>230</v>
      </c>
      <c r="D91" s="82">
        <v>158.85399999999998</v>
      </c>
      <c r="E91" s="22">
        <v>101.50075639306195</v>
      </c>
      <c r="F91" s="58">
        <f>65+11.5769210086046</f>
        <v>76.5769210086046</v>
      </c>
      <c r="G91" s="22">
        <v>71.23272347960814</v>
      </c>
      <c r="H91" s="79">
        <v>101.23361604120458</v>
      </c>
      <c r="I91" s="22">
        <v>94.409197224492033</v>
      </c>
      <c r="J91" s="21">
        <f>65+8.4248336734511</f>
        <v>73.424833673451104</v>
      </c>
      <c r="K91" s="37">
        <v>67.32925595305116</v>
      </c>
      <c r="L91" s="24">
        <v>92.769490548895135</v>
      </c>
      <c r="M91" s="23">
        <v>8</v>
      </c>
      <c r="N91" s="23">
        <v>4.7</v>
      </c>
    </row>
    <row r="92" spans="1:16" ht="15" thickBot="1" x14ac:dyDescent="0.4">
      <c r="B92" s="30" t="s">
        <v>85</v>
      </c>
      <c r="C92" s="30" t="s">
        <v>231</v>
      </c>
      <c r="D92" s="82">
        <v>160.251</v>
      </c>
      <c r="E92" s="22">
        <v>103.41444617542415</v>
      </c>
      <c r="F92" s="58">
        <f>65+11.5570747099767</f>
        <v>76.557074709976703</v>
      </c>
      <c r="G92" s="22">
        <v>66.607009892093927</v>
      </c>
      <c r="H92" s="79">
        <v>103.31252384206584</v>
      </c>
      <c r="I92" s="22">
        <v>97.550821419259961</v>
      </c>
      <c r="J92" s="21">
        <f>65+7.54797215510806</f>
        <v>72.547972155108056</v>
      </c>
      <c r="K92" s="22">
        <v>62.536224047445018</v>
      </c>
      <c r="L92" s="24">
        <v>99.833660831119801</v>
      </c>
      <c r="M92" s="21">
        <v>4.0999999999999996</v>
      </c>
      <c r="N92" s="21">
        <v>2.6</v>
      </c>
    </row>
    <row r="93" spans="1:16" ht="15" thickBot="1" x14ac:dyDescent="0.4">
      <c r="B93" s="30" t="s">
        <v>86</v>
      </c>
      <c r="C93" s="30" t="s">
        <v>228</v>
      </c>
      <c r="D93" s="82">
        <v>161.34199999999998</v>
      </c>
      <c r="E93" s="22">
        <v>101.20971622982958</v>
      </c>
      <c r="F93" s="58">
        <f>65+10.3211929358436</f>
        <v>75.321192935843598</v>
      </c>
      <c r="G93" s="22">
        <v>70.280302153988387</v>
      </c>
      <c r="H93" s="79">
        <v>99.717390034678431</v>
      </c>
      <c r="I93" s="22">
        <v>93.316936673740926</v>
      </c>
      <c r="J93" s="21">
        <f>65+8.0311077460772</f>
        <v>73.031107746077197</v>
      </c>
      <c r="K93" s="37">
        <v>66.675447922698268</v>
      </c>
      <c r="L93" s="24">
        <v>92.111067898817481</v>
      </c>
      <c r="M93" s="21">
        <v>4.9000000000000004</v>
      </c>
      <c r="N93" s="23">
        <v>4.5</v>
      </c>
    </row>
    <row r="94" spans="1:16" ht="15" thickBot="1" x14ac:dyDescent="0.4">
      <c r="B94" s="36" t="s">
        <v>87</v>
      </c>
      <c r="C94" s="36" t="s">
        <v>230</v>
      </c>
      <c r="D94" s="82">
        <v>162.37200000000001</v>
      </c>
      <c r="E94" s="22">
        <v>108.33859462375187</v>
      </c>
      <c r="F94" s="21">
        <f>65+13.7494677783692</f>
        <v>78.749467778369194</v>
      </c>
      <c r="G94" s="22">
        <v>65.043900544993363</v>
      </c>
      <c r="H94" s="24">
        <v>111.63986173963541</v>
      </c>
      <c r="I94" s="22">
        <v>95.000132372146439</v>
      </c>
      <c r="J94" s="21">
        <f>65+9.78373256997477</f>
        <v>74.783732569974774</v>
      </c>
      <c r="K94" s="37">
        <v>63.756997624808783</v>
      </c>
      <c r="L94" s="24">
        <v>94.903629740602668</v>
      </c>
      <c r="M94" s="23">
        <v>5.7</v>
      </c>
      <c r="N94" s="21">
        <v>3.8</v>
      </c>
    </row>
    <row r="95" spans="1:16" ht="15" thickBot="1" x14ac:dyDescent="0.4">
      <c r="B95" s="36" t="s">
        <v>88</v>
      </c>
      <c r="C95" s="36" t="s">
        <v>229</v>
      </c>
      <c r="D95" s="82">
        <v>167.589</v>
      </c>
      <c r="E95" s="22">
        <v>101.23312383794482</v>
      </c>
      <c r="F95" s="21">
        <f>65+10.0569643860975</f>
        <v>75.056964386097505</v>
      </c>
      <c r="G95" s="22">
        <v>73.673981211397219</v>
      </c>
      <c r="H95" s="24">
        <v>99.258273622977939</v>
      </c>
      <c r="I95" s="22">
        <v>91.74423607203272</v>
      </c>
      <c r="J95" s="21">
        <f>65+6.66753943712025</f>
        <v>71.667539437120254</v>
      </c>
      <c r="K95" s="37">
        <v>68.110462338608983</v>
      </c>
      <c r="L95" s="24">
        <v>89.036914935056444</v>
      </c>
      <c r="M95" s="21">
        <v>5.0999999999999996</v>
      </c>
      <c r="N95" s="23">
        <v>3.6</v>
      </c>
    </row>
    <row r="96" spans="1:16" ht="15" thickBot="1" x14ac:dyDescent="0.4">
      <c r="B96" s="12" t="s">
        <v>4</v>
      </c>
      <c r="C96" s="135"/>
      <c r="D96" s="136"/>
      <c r="E96" s="136"/>
      <c r="F96" s="136"/>
      <c r="G96" s="136"/>
      <c r="H96" s="136"/>
      <c r="I96" s="136"/>
      <c r="J96" s="136"/>
      <c r="K96" s="136"/>
      <c r="L96" s="136"/>
      <c r="M96" s="136"/>
      <c r="N96" s="137"/>
    </row>
    <row r="97" spans="2:14" ht="15" thickBot="1" x14ac:dyDescent="0.4">
      <c r="B97" s="30" t="s">
        <v>89</v>
      </c>
      <c r="C97" s="30" t="s">
        <v>228</v>
      </c>
      <c r="D97" s="82">
        <v>151.666</v>
      </c>
      <c r="E97" s="22">
        <v>104.24690787273605</v>
      </c>
      <c r="F97" s="21">
        <f>65+11.9955238342398</f>
        <v>76.995523834239805</v>
      </c>
      <c r="G97" s="22">
        <v>64.756396232390657</v>
      </c>
      <c r="H97" s="24">
        <v>104.61451674767542</v>
      </c>
      <c r="I97" s="22">
        <v>105.81040690850473</v>
      </c>
      <c r="J97" s="21">
        <f>65+7.79198940811126</f>
        <v>72.791989408111263</v>
      </c>
      <c r="K97" s="37">
        <v>59.821977436723756</v>
      </c>
      <c r="L97" s="24">
        <v>108.80910421524879</v>
      </c>
      <c r="M97" s="21">
        <v>3</v>
      </c>
      <c r="N97" s="21">
        <v>6.5</v>
      </c>
    </row>
    <row r="98" spans="2:14" ht="15" thickBot="1" x14ac:dyDescent="0.4">
      <c r="B98" s="36" t="s">
        <v>90</v>
      </c>
      <c r="C98" s="36" t="s">
        <v>231</v>
      </c>
      <c r="D98" s="82">
        <v>153.01600000000002</v>
      </c>
      <c r="E98" s="59">
        <v>99.782924741521796</v>
      </c>
      <c r="F98" s="60">
        <f>65+10.3257142347165</f>
        <v>75.3257142347165</v>
      </c>
      <c r="G98" s="59">
        <v>65.757768096706954</v>
      </c>
      <c r="H98" s="80">
        <v>97.753167323420655</v>
      </c>
      <c r="I98" s="59">
        <v>101.37143215429985</v>
      </c>
      <c r="J98" s="60">
        <f>65+6.7117468326112</f>
        <v>71.711746832611198</v>
      </c>
      <c r="K98" s="61">
        <v>62.42819029045198</v>
      </c>
      <c r="L98" s="80">
        <v>104.77592954404675</v>
      </c>
      <c r="M98" s="21">
        <v>7.1</v>
      </c>
      <c r="N98" s="21">
        <v>6</v>
      </c>
    </row>
    <row r="99" spans="2:14" ht="15" thickBot="1" x14ac:dyDescent="0.4">
      <c r="B99" s="36" t="s">
        <v>178</v>
      </c>
      <c r="C99" s="36" t="s">
        <v>229</v>
      </c>
      <c r="D99" s="82">
        <v>153.02699999999999</v>
      </c>
      <c r="E99" s="59">
        <v>101.20603458506649</v>
      </c>
      <c r="F99" s="60">
        <f>65+12.9767822457896</f>
        <v>77.976782245789593</v>
      </c>
      <c r="G99" s="59">
        <v>56.57628171186979</v>
      </c>
      <c r="H99" s="81">
        <v>102.25135042679204</v>
      </c>
      <c r="I99" s="59">
        <v>100.7113815682582</v>
      </c>
      <c r="J99" s="60">
        <f>65+9.48953886366272</f>
        <v>74.489538863662716</v>
      </c>
      <c r="K99" s="59">
        <v>51.650728753052462</v>
      </c>
      <c r="L99" s="81">
        <v>106.45066890520447</v>
      </c>
      <c r="M99" s="21">
        <v>5.9</v>
      </c>
      <c r="N99" s="23">
        <v>6.5</v>
      </c>
    </row>
    <row r="100" spans="2:14" ht="15" thickBot="1" x14ac:dyDescent="0.4">
      <c r="B100" s="36" t="s">
        <v>91</v>
      </c>
      <c r="C100" s="36" t="s">
        <v>231</v>
      </c>
      <c r="D100" s="82">
        <v>153.27800000000002</v>
      </c>
      <c r="E100" s="59">
        <v>103.68060440562626</v>
      </c>
      <c r="F100" s="60">
        <f>65+11.3666299752077</f>
        <v>76.366629975207701</v>
      </c>
      <c r="G100" s="59">
        <v>62.755709340653574</v>
      </c>
      <c r="H100" s="80">
        <v>102.90084446290805</v>
      </c>
      <c r="I100" s="59">
        <v>101.92539339020252</v>
      </c>
      <c r="J100" s="60">
        <f>65+9.0884497936201</f>
        <v>74.0884497936201</v>
      </c>
      <c r="K100" s="61">
        <v>57.88642828459745</v>
      </c>
      <c r="L100" s="80">
        <v>104.3424703078218</v>
      </c>
      <c r="M100" s="21">
        <v>5.8</v>
      </c>
      <c r="N100" s="21">
        <v>6.3</v>
      </c>
    </row>
    <row r="101" spans="2:14" ht="15" thickBot="1" x14ac:dyDescent="0.4">
      <c r="B101" s="36" t="s">
        <v>92</v>
      </c>
      <c r="C101" s="36" t="s">
        <v>230</v>
      </c>
      <c r="D101" s="82">
        <v>153.33100000000002</v>
      </c>
      <c r="E101" s="59">
        <v>101.55010260054567</v>
      </c>
      <c r="F101" s="60">
        <f>65+11.6895883069874</f>
        <v>76.689588306987403</v>
      </c>
      <c r="G101" s="59">
        <v>68.173924981138327</v>
      </c>
      <c r="H101" s="80">
        <v>101.68521618697169</v>
      </c>
      <c r="I101" s="59">
        <v>99.941993785281738</v>
      </c>
      <c r="J101" s="60">
        <f>65+8.60225169428996</f>
        <v>73.602251694289961</v>
      </c>
      <c r="K101" s="61">
        <v>62.623919680753104</v>
      </c>
      <c r="L101" s="80">
        <v>103.29491259760123</v>
      </c>
      <c r="M101" s="21">
        <v>6.7</v>
      </c>
      <c r="N101" s="23">
        <v>6.3</v>
      </c>
    </row>
    <row r="102" spans="2:14" ht="15" thickBot="1" x14ac:dyDescent="0.4">
      <c r="B102" s="36" t="s">
        <v>177</v>
      </c>
      <c r="C102" s="36" t="s">
        <v>230</v>
      </c>
      <c r="D102" s="82">
        <v>153.404</v>
      </c>
      <c r="E102" s="59">
        <v>102.115063952908</v>
      </c>
      <c r="F102" s="60">
        <f>65+11.7138687078144</f>
        <v>76.713868707814399</v>
      </c>
      <c r="G102" s="59">
        <v>63.860422564952906</v>
      </c>
      <c r="H102" s="80">
        <v>101.88346844558868</v>
      </c>
      <c r="I102" s="59">
        <v>108.41535204584495</v>
      </c>
      <c r="J102" s="60">
        <f>65+9.36246015265743</f>
        <v>74.362460152657434</v>
      </c>
      <c r="K102" s="59">
        <v>58.662580338669237</v>
      </c>
      <c r="L102" s="80">
        <v>112.53308948901622</v>
      </c>
      <c r="M102" s="21">
        <v>5.5</v>
      </c>
      <c r="N102" s="23">
        <v>5.9</v>
      </c>
    </row>
    <row r="103" spans="2:14" ht="15" thickBot="1" x14ac:dyDescent="0.4">
      <c r="B103" s="30" t="s">
        <v>93</v>
      </c>
      <c r="C103" s="30" t="s">
        <v>230</v>
      </c>
      <c r="D103" s="82">
        <v>153.74099999999999</v>
      </c>
      <c r="E103" s="59">
        <v>103.42344106717502</v>
      </c>
      <c r="F103" s="60">
        <f>65+11.118101005145</f>
        <v>76.118101005145007</v>
      </c>
      <c r="G103" s="59">
        <v>65.331699255645162</v>
      </c>
      <c r="H103" s="80">
        <v>102.67105722959111</v>
      </c>
      <c r="I103" s="59">
        <v>101.75479908319201</v>
      </c>
      <c r="J103" s="60">
        <f>65+7.74129509925456</f>
        <v>72.741295099254557</v>
      </c>
      <c r="K103" s="61">
        <v>60.129298580046424</v>
      </c>
      <c r="L103" s="80">
        <v>103.71862408078893</v>
      </c>
      <c r="M103" s="21">
        <v>6.8</v>
      </c>
      <c r="N103" s="21">
        <v>6.8</v>
      </c>
    </row>
    <row r="104" spans="2:14" ht="15" thickBot="1" x14ac:dyDescent="0.4">
      <c r="B104" s="36" t="s">
        <v>94</v>
      </c>
      <c r="C104" s="36" t="s">
        <v>228</v>
      </c>
      <c r="D104" s="82">
        <v>155.13400000000001</v>
      </c>
      <c r="E104" s="59">
        <v>99.847856143983833</v>
      </c>
      <c r="F104" s="60">
        <f>65+11.8411929358436</f>
        <v>76.841192935843594</v>
      </c>
      <c r="G104" s="59">
        <v>66.939402153988368</v>
      </c>
      <c r="H104" s="80">
        <v>99.86756301630642</v>
      </c>
      <c r="I104" s="59">
        <v>99.912107563704538</v>
      </c>
      <c r="J104" s="60">
        <f>65+8.34710774607719</f>
        <v>73.347107746077185</v>
      </c>
      <c r="K104" s="61">
        <v>62.65044792269827</v>
      </c>
      <c r="L104" s="80">
        <v>103.78407749470263</v>
      </c>
      <c r="M104" s="21">
        <v>4.4000000000000004</v>
      </c>
      <c r="N104" s="21">
        <v>6.6</v>
      </c>
    </row>
    <row r="105" spans="2:14" ht="15" thickBot="1" x14ac:dyDescent="0.4">
      <c r="B105" s="36" t="s">
        <v>95</v>
      </c>
      <c r="C105" s="36" t="s">
        <v>228</v>
      </c>
      <c r="D105" s="82">
        <v>155.36799999999999</v>
      </c>
      <c r="E105" s="59">
        <v>106.81985257915528</v>
      </c>
      <c r="F105" s="60">
        <f>65+12.9072761560881</f>
        <v>77.907276156088102</v>
      </c>
      <c r="G105" s="59">
        <v>65.735353672447332</v>
      </c>
      <c r="H105" s="80">
        <v>108.53717954187034</v>
      </c>
      <c r="I105" s="59">
        <v>106.11854508892544</v>
      </c>
      <c r="J105" s="60">
        <f>65+7.62877013364822</f>
        <v>72.628770133648217</v>
      </c>
      <c r="K105" s="61">
        <v>62.630252691739486</v>
      </c>
      <c r="L105" s="80">
        <v>109.64530729899478</v>
      </c>
      <c r="M105" s="21">
        <v>5.8</v>
      </c>
      <c r="N105" s="21">
        <v>5.8</v>
      </c>
    </row>
    <row r="106" spans="2:14" ht="15" thickBot="1" x14ac:dyDescent="0.4">
      <c r="B106" s="30" t="s">
        <v>96</v>
      </c>
      <c r="C106" s="30" t="s">
        <v>228</v>
      </c>
      <c r="D106" s="82">
        <v>155.98699999999999</v>
      </c>
      <c r="E106" s="59">
        <v>102.73399039324659</v>
      </c>
      <c r="F106" s="60">
        <f>65+12.1586074470699</f>
        <v>77.158607447069897</v>
      </c>
      <c r="G106" s="59">
        <v>67.566596575966713</v>
      </c>
      <c r="H106" s="80">
        <v>103.2376951530487</v>
      </c>
      <c r="I106" s="59">
        <v>102.76932869753189</v>
      </c>
      <c r="J106" s="60">
        <f>65+9.26617796612184</f>
        <v>74.266177966121845</v>
      </c>
      <c r="K106" s="61">
        <v>62.689564884552013</v>
      </c>
      <c r="L106" s="80">
        <v>108.7073552459144</v>
      </c>
      <c r="M106" s="21">
        <v>6.6</v>
      </c>
      <c r="N106" s="23">
        <v>6.4</v>
      </c>
    </row>
    <row r="107" spans="2:14" ht="15" thickBot="1" x14ac:dyDescent="0.4">
      <c r="B107" s="30" t="s">
        <v>179</v>
      </c>
      <c r="C107" s="30" t="s">
        <v>229</v>
      </c>
      <c r="D107" s="82">
        <v>156.346</v>
      </c>
      <c r="E107" s="59">
        <v>105.15233203966329</v>
      </c>
      <c r="F107" s="60">
        <f>65+13.4055353744811</f>
        <v>78.405535374481104</v>
      </c>
      <c r="G107" s="59">
        <v>63.746589231619566</v>
      </c>
      <c r="H107" s="80">
        <v>107.1210540671274</v>
      </c>
      <c r="I107" s="59">
        <v>101.10021156666426</v>
      </c>
      <c r="J107" s="60">
        <f>65+10.6607934859908</f>
        <v>75.660793485990794</v>
      </c>
      <c r="K107" s="59">
        <v>57.121747005335884</v>
      </c>
      <c r="L107" s="80">
        <v>102.01609341524083</v>
      </c>
      <c r="M107" s="21">
        <v>5.8</v>
      </c>
      <c r="N107" s="23">
        <v>6.3</v>
      </c>
    </row>
    <row r="108" spans="2:14" ht="15" thickBot="1" x14ac:dyDescent="0.4">
      <c r="B108" s="30" t="s">
        <v>97</v>
      </c>
      <c r="C108" s="30" t="s">
        <v>230</v>
      </c>
      <c r="D108" s="82">
        <v>157.40800000000002</v>
      </c>
      <c r="E108" s="59">
        <v>102.21355568423553</v>
      </c>
      <c r="F108" s="60">
        <f>65+12.3686199786008</f>
        <v>77.368619978600805</v>
      </c>
      <c r="G108" s="59">
        <v>67.994827255933814</v>
      </c>
      <c r="H108" s="80">
        <v>102.9929212779422</v>
      </c>
      <c r="I108" s="59">
        <v>97.632545902817355</v>
      </c>
      <c r="J108" s="60">
        <f>65+8.31677460411983</f>
        <v>73.316774604119828</v>
      </c>
      <c r="K108" s="61">
        <v>65.243418242824362</v>
      </c>
      <c r="L108" s="80">
        <v>98.558839469112542</v>
      </c>
      <c r="M108" s="21">
        <v>6.8</v>
      </c>
      <c r="N108" s="23">
        <v>6.4</v>
      </c>
    </row>
    <row r="109" spans="2:14" ht="15" thickBot="1" x14ac:dyDescent="0.4">
      <c r="B109" s="30" t="s">
        <v>98</v>
      </c>
      <c r="C109" s="30" t="s">
        <v>230</v>
      </c>
      <c r="D109" s="82">
        <v>160.57599999999999</v>
      </c>
      <c r="E109" s="59">
        <v>98.680157019748506</v>
      </c>
      <c r="F109" s="60">
        <f>65+11.2603234939614</f>
        <v>76.260323493961394</v>
      </c>
      <c r="G109" s="59">
        <v>66.614848158346945</v>
      </c>
      <c r="H109" s="80">
        <v>98.201819408898601</v>
      </c>
      <c r="I109" s="59">
        <v>97.489754948535108</v>
      </c>
      <c r="J109" s="60">
        <f>65+7.34305241706474</f>
        <v>72.34305241706474</v>
      </c>
      <c r="K109" s="61">
        <v>63.085003014086425</v>
      </c>
      <c r="L109" s="80">
        <v>98.497655355125033</v>
      </c>
      <c r="M109" s="21">
        <v>6.6</v>
      </c>
      <c r="N109" s="23">
        <v>6.5</v>
      </c>
    </row>
    <row r="110" spans="2:14" x14ac:dyDescent="0.35">
      <c r="B110" s="38"/>
      <c r="C110" s="38"/>
    </row>
    <row r="111" spans="2:14" ht="18.5" x14ac:dyDescent="0.45">
      <c r="B111" s="14" t="s">
        <v>249</v>
      </c>
      <c r="C111" s="14"/>
    </row>
    <row r="112" spans="2:14" ht="15" thickBot="1" x14ac:dyDescent="0.4"/>
    <row r="113" spans="2:13" ht="33" thickBot="1" x14ac:dyDescent="0.4">
      <c r="B113" s="95" t="s">
        <v>6</v>
      </c>
      <c r="C113" s="95" t="s">
        <v>227</v>
      </c>
      <c r="D113" s="95" t="s">
        <v>7</v>
      </c>
      <c r="E113" s="98" t="s">
        <v>232</v>
      </c>
      <c r="F113" s="110" t="s">
        <v>10</v>
      </c>
      <c r="G113" s="93" t="s">
        <v>209</v>
      </c>
      <c r="H113" s="98" t="s">
        <v>233</v>
      </c>
      <c r="I113" s="98" t="s">
        <v>193</v>
      </c>
      <c r="J113" s="95" t="s">
        <v>187</v>
      </c>
      <c r="K113" s="83" t="s">
        <v>215</v>
      </c>
      <c r="L113" s="84" t="s">
        <v>20</v>
      </c>
    </row>
    <row r="114" spans="2:13" ht="54" customHeight="1" thickBot="1" x14ac:dyDescent="0.4">
      <c r="B114" s="96"/>
      <c r="C114" s="96"/>
      <c r="D114" s="96"/>
      <c r="E114" s="112"/>
      <c r="F114" s="90"/>
      <c r="G114" s="94"/>
      <c r="H114" s="112"/>
      <c r="I114" s="112"/>
      <c r="J114" s="96"/>
      <c r="K114" s="91" t="s">
        <v>214</v>
      </c>
      <c r="L114" s="92"/>
    </row>
    <row r="115" spans="2:13" ht="26.25" customHeight="1" thickBot="1" x14ac:dyDescent="0.4">
      <c r="B115" s="16" t="s">
        <v>3</v>
      </c>
      <c r="C115" s="135"/>
      <c r="D115" s="136"/>
      <c r="E115" s="136"/>
      <c r="F115" s="136"/>
      <c r="G115" s="136"/>
      <c r="H115" s="136"/>
      <c r="I115" s="136"/>
      <c r="J115" s="136"/>
      <c r="K115" s="136"/>
      <c r="L115" s="137"/>
    </row>
    <row r="116" spans="2:13" ht="15" thickBot="1" x14ac:dyDescent="0.4">
      <c r="B116" s="45" t="s">
        <v>99</v>
      </c>
      <c r="C116" s="45" t="s">
        <v>228</v>
      </c>
      <c r="D116" s="82">
        <v>142.26600000000002</v>
      </c>
      <c r="E116" s="31">
        <v>100.56774499172654</v>
      </c>
      <c r="F116" s="74">
        <f>65+-1.15963736467146</f>
        <v>63.840362635328539</v>
      </c>
      <c r="G116" s="31">
        <v>99.908205030107922</v>
      </c>
      <c r="H116" s="76">
        <v>102.2480134305593</v>
      </c>
      <c r="I116" s="31">
        <v>101.22879899964023</v>
      </c>
      <c r="J116" s="31">
        <v>45.406433855743487</v>
      </c>
      <c r="K116" s="32">
        <v>6.5</v>
      </c>
      <c r="L116" s="33">
        <v>6.8</v>
      </c>
    </row>
    <row r="117" spans="2:13" ht="15.75" customHeight="1" thickBot="1" x14ac:dyDescent="0.4">
      <c r="B117" s="46" t="s">
        <v>100</v>
      </c>
      <c r="C117" s="46" t="s">
        <v>230</v>
      </c>
      <c r="D117" s="82">
        <v>142.39600000000002</v>
      </c>
      <c r="E117" s="24">
        <v>100.45408439565632</v>
      </c>
      <c r="F117" s="75">
        <f>65+-1.31711880642501</f>
        <v>63.682881193574993</v>
      </c>
      <c r="G117" s="24">
        <v>95.513745009912085</v>
      </c>
      <c r="H117" s="73">
        <v>109.39403169226202</v>
      </c>
      <c r="I117" s="24">
        <v>95.711794782830125</v>
      </c>
      <c r="J117" s="24">
        <v>56.334399131124492</v>
      </c>
      <c r="K117" s="26">
        <v>7.9</v>
      </c>
      <c r="L117" s="26">
        <v>6.7</v>
      </c>
    </row>
    <row r="118" spans="2:13" ht="15" thickBot="1" x14ac:dyDescent="0.4">
      <c r="B118" s="46" t="s">
        <v>101</v>
      </c>
      <c r="C118" s="46" t="s">
        <v>230</v>
      </c>
      <c r="D118" s="82">
        <v>143.30599999999998</v>
      </c>
      <c r="E118" s="24">
        <v>101.34045182290612</v>
      </c>
      <c r="F118" s="75">
        <f>65+-0.781971404889319</f>
        <v>64.218028595110681</v>
      </c>
      <c r="G118" s="24">
        <v>101.42134684559538</v>
      </c>
      <c r="H118" s="73">
        <v>101.02312096004886</v>
      </c>
      <c r="I118" s="24">
        <v>100.2204285658777</v>
      </c>
      <c r="J118" s="24">
        <v>52.004618806046906</v>
      </c>
      <c r="K118" s="26">
        <v>6.7</v>
      </c>
      <c r="L118" s="26" t="s">
        <v>194</v>
      </c>
    </row>
    <row r="119" spans="2:13" ht="15" thickBot="1" x14ac:dyDescent="0.4">
      <c r="B119" s="47" t="s">
        <v>102</v>
      </c>
      <c r="C119" s="47" t="s">
        <v>228</v>
      </c>
      <c r="D119" s="82">
        <v>143.53100000000001</v>
      </c>
      <c r="E119" s="24">
        <v>99.584473757747517</v>
      </c>
      <c r="F119" s="74">
        <f>65+-0.420936311262309</f>
        <v>64.579063688737691</v>
      </c>
      <c r="G119" s="31">
        <v>97.348213050531115</v>
      </c>
      <c r="H119" s="76">
        <v>99.493345435218274</v>
      </c>
      <c r="I119" s="31">
        <v>95.463811015703556</v>
      </c>
      <c r="J119" s="31">
        <v>54.38531482181795</v>
      </c>
      <c r="K119" s="26">
        <v>6.6</v>
      </c>
      <c r="L119" s="26">
        <v>6.8</v>
      </c>
    </row>
    <row r="120" spans="2:13" ht="17.25" customHeight="1" thickBot="1" x14ac:dyDescent="0.4">
      <c r="B120" s="46" t="s">
        <v>103</v>
      </c>
      <c r="C120" s="46" t="s">
        <v>228</v>
      </c>
      <c r="D120" s="82">
        <v>143.58199999999999</v>
      </c>
      <c r="E120" s="24">
        <v>99.716104968931319</v>
      </c>
      <c r="F120" s="75">
        <f>65+-0.508923833384983</f>
        <v>64.491076166615017</v>
      </c>
      <c r="G120" s="24">
        <v>97.524502984558197</v>
      </c>
      <c r="H120" s="73">
        <v>104.59185028855541</v>
      </c>
      <c r="I120" s="24">
        <v>99.369650563469008</v>
      </c>
      <c r="J120" s="24">
        <v>54.090867624077255</v>
      </c>
      <c r="K120" s="26">
        <v>7.5</v>
      </c>
      <c r="L120" s="26">
        <v>6.9</v>
      </c>
    </row>
    <row r="121" spans="2:13" ht="16.5" customHeight="1" thickBot="1" x14ac:dyDescent="0.4">
      <c r="B121" s="46" t="s">
        <v>185</v>
      </c>
      <c r="C121" s="46" t="s">
        <v>230</v>
      </c>
      <c r="D121" s="82">
        <v>143.839</v>
      </c>
      <c r="E121" s="24">
        <v>103.26005842923728</v>
      </c>
      <c r="F121" s="75">
        <f>65+-1.72321634805095</f>
        <v>63.276783651949053</v>
      </c>
      <c r="G121" s="24">
        <v>98.61286499186005</v>
      </c>
      <c r="H121" s="73">
        <v>100.65124636785401</v>
      </c>
      <c r="I121" s="24">
        <v>101.47749308114049</v>
      </c>
      <c r="J121" s="24">
        <v>60.880046475396675</v>
      </c>
      <c r="K121" s="26">
        <v>8</v>
      </c>
      <c r="L121" s="26" t="s">
        <v>169</v>
      </c>
    </row>
    <row r="122" spans="2:13" ht="15" thickBot="1" x14ac:dyDescent="0.4">
      <c r="B122" s="46" t="s">
        <v>105</v>
      </c>
      <c r="C122" s="46" t="s">
        <v>228</v>
      </c>
      <c r="D122" s="82">
        <v>144.114</v>
      </c>
      <c r="E122" s="24">
        <v>100.42704446026907</v>
      </c>
      <c r="F122" s="75">
        <f>65+-0.0702774504775334</f>
        <v>64.929722549522467</v>
      </c>
      <c r="G122" s="24">
        <v>99.408070876075556</v>
      </c>
      <c r="H122" s="73">
        <v>98.423161700801444</v>
      </c>
      <c r="I122" s="24">
        <v>96.302122654700767</v>
      </c>
      <c r="J122" s="24">
        <v>56.130464241715934</v>
      </c>
      <c r="K122" s="25">
        <v>6.6</v>
      </c>
      <c r="L122" s="26">
        <v>7.1</v>
      </c>
    </row>
    <row r="123" spans="2:13" ht="15" thickBot="1" x14ac:dyDescent="0.4">
      <c r="B123" s="46" t="s">
        <v>104</v>
      </c>
      <c r="C123" s="46" t="s">
        <v>230</v>
      </c>
      <c r="D123" s="82">
        <v>144.416</v>
      </c>
      <c r="E123" s="24">
        <v>100.98239293657507</v>
      </c>
      <c r="F123" s="75">
        <f>65+-0.718638071555944</f>
        <v>64.281361928444056</v>
      </c>
      <c r="G123" s="24">
        <v>98.794410519545067</v>
      </c>
      <c r="H123" s="73">
        <v>107.38155099878007</v>
      </c>
      <c r="I123" s="24">
        <v>100.58179481253583</v>
      </c>
      <c r="J123" s="24">
        <v>53.61195213938025</v>
      </c>
      <c r="K123" s="26">
        <v>6.4</v>
      </c>
      <c r="L123" s="26" t="s">
        <v>195</v>
      </c>
    </row>
    <row r="124" spans="2:13" ht="15" thickBot="1" x14ac:dyDescent="0.4">
      <c r="B124" s="45" t="s">
        <v>106</v>
      </c>
      <c r="C124" s="45" t="s">
        <v>230</v>
      </c>
      <c r="D124" s="82">
        <v>144.57499999999999</v>
      </c>
      <c r="E124" s="24">
        <v>100.74881101362092</v>
      </c>
      <c r="F124" s="75">
        <f>65+-0.577851360359361</f>
        <v>64.422148639640639</v>
      </c>
      <c r="G124" s="24">
        <v>99.59675803527837</v>
      </c>
      <c r="H124" s="73">
        <v>92.610832063967138</v>
      </c>
      <c r="I124" s="24">
        <v>97.094793953908905</v>
      </c>
      <c r="J124" s="24">
        <v>55.393781466291102</v>
      </c>
      <c r="K124" s="26">
        <v>6.5</v>
      </c>
      <c r="L124" s="26">
        <v>6.9</v>
      </c>
    </row>
    <row r="125" spans="2:13" ht="15" customHeight="1" thickBot="1" x14ac:dyDescent="0.4">
      <c r="B125" s="46" t="s">
        <v>107</v>
      </c>
      <c r="C125" s="46" t="s">
        <v>228</v>
      </c>
      <c r="D125" s="82">
        <v>144.648</v>
      </c>
      <c r="E125" s="24">
        <v>101.87958580776004</v>
      </c>
      <c r="F125" s="75">
        <f>65+-0.323333409254317</f>
        <v>64.676666590745683</v>
      </c>
      <c r="G125" s="24">
        <v>100.64627514849681</v>
      </c>
      <c r="H125" s="73">
        <v>108.66333908332888</v>
      </c>
      <c r="I125" s="24">
        <v>97.452352026961876</v>
      </c>
      <c r="J125" s="24">
        <v>54.794489980102021</v>
      </c>
      <c r="K125" s="26">
        <v>6.9</v>
      </c>
      <c r="L125" s="26">
        <v>7.1</v>
      </c>
    </row>
    <row r="126" spans="2:13" ht="15" thickBot="1" x14ac:dyDescent="0.4">
      <c r="B126" s="46" t="s">
        <v>108</v>
      </c>
      <c r="C126" s="46" t="s">
        <v>228</v>
      </c>
      <c r="D126" s="82">
        <v>144.87799999999999</v>
      </c>
      <c r="E126" s="24">
        <v>100.79035868495669</v>
      </c>
      <c r="F126" s="75">
        <f>65+-0.812970698019498</f>
        <v>64.187029301980502</v>
      </c>
      <c r="G126" s="24">
        <v>99.267971556317633</v>
      </c>
      <c r="H126" s="73">
        <v>104.70426452634806</v>
      </c>
      <c r="I126" s="24">
        <v>97.245140644683431</v>
      </c>
      <c r="J126" s="24">
        <v>56.762467624077267</v>
      </c>
      <c r="K126" s="26">
        <v>7.7</v>
      </c>
      <c r="L126" s="26">
        <v>6.9</v>
      </c>
    </row>
    <row r="127" spans="2:13" ht="15" thickBot="1" x14ac:dyDescent="0.4">
      <c r="B127" s="46" t="s">
        <v>199</v>
      </c>
      <c r="C127" s="46" t="s">
        <v>230</v>
      </c>
      <c r="D127" s="82">
        <v>145.95600000000002</v>
      </c>
      <c r="E127" s="24">
        <v>103.04820196107012</v>
      </c>
      <c r="F127" s="75">
        <f>65+-0.630494110031123</f>
        <v>64.369505889968877</v>
      </c>
      <c r="G127" s="24">
        <v>100.07431912881637</v>
      </c>
      <c r="H127" s="73">
        <v>103.15808391676055</v>
      </c>
      <c r="I127" s="24">
        <v>100.20427349366506</v>
      </c>
      <c r="J127" s="24">
        <v>59.030046486500147</v>
      </c>
      <c r="K127" s="26">
        <v>8</v>
      </c>
      <c r="L127" s="26" t="s">
        <v>169</v>
      </c>
      <c r="M127" s="9"/>
    </row>
    <row r="128" spans="2:13" ht="15" thickBot="1" x14ac:dyDescent="0.4">
      <c r="B128" s="34" t="s">
        <v>109</v>
      </c>
      <c r="C128" s="34" t="s">
        <v>230</v>
      </c>
      <c r="D128" s="82">
        <v>146.03100000000001</v>
      </c>
      <c r="E128" s="24">
        <v>98.99409230541562</v>
      </c>
      <c r="F128" s="75">
        <f>65+-1.00158807173983</f>
        <v>63.998411928260168</v>
      </c>
      <c r="G128" s="24">
        <v>94.581138988228176</v>
      </c>
      <c r="H128" s="73">
        <v>103.72295306625166</v>
      </c>
      <c r="I128" s="24">
        <v>93.120644539647444</v>
      </c>
      <c r="J128" s="24">
        <v>52.188852947239354</v>
      </c>
      <c r="K128" s="26">
        <v>7.6</v>
      </c>
      <c r="L128" s="26">
        <v>7.2</v>
      </c>
    </row>
    <row r="129" spans="2:15" ht="15" thickBot="1" x14ac:dyDescent="0.4">
      <c r="B129" s="19" t="s">
        <v>4</v>
      </c>
      <c r="C129" s="129"/>
      <c r="D129" s="130"/>
      <c r="E129" s="130"/>
      <c r="F129" s="130"/>
      <c r="G129" s="130"/>
      <c r="H129" s="130"/>
      <c r="I129" s="130"/>
      <c r="J129" s="130"/>
      <c r="K129" s="130"/>
      <c r="L129" s="131"/>
    </row>
    <row r="130" spans="2:15" ht="15" thickBot="1" x14ac:dyDescent="0.4">
      <c r="B130" s="48" t="s">
        <v>112</v>
      </c>
      <c r="C130" s="45" t="s">
        <v>228</v>
      </c>
      <c r="D130" s="82">
        <v>141.24200000000002</v>
      </c>
      <c r="E130" s="24">
        <v>99.438696631626001</v>
      </c>
      <c r="F130" s="75">
        <f>65+-0.135192920241721</f>
        <v>64.864807079758279</v>
      </c>
      <c r="G130" s="24">
        <v>98.402617347883123</v>
      </c>
      <c r="H130" s="73">
        <v>97.779547478321973</v>
      </c>
      <c r="I130" s="24">
        <v>102.35982141641331</v>
      </c>
      <c r="J130" s="31">
        <v>52.189433941730833</v>
      </c>
      <c r="K130" s="33">
        <v>7.5</v>
      </c>
      <c r="L130" s="33">
        <v>6.7</v>
      </c>
    </row>
    <row r="131" spans="2:15" ht="15" thickBot="1" x14ac:dyDescent="0.4">
      <c r="B131" s="48" t="s">
        <v>110</v>
      </c>
      <c r="C131" s="45" t="s">
        <v>229</v>
      </c>
      <c r="D131" s="82">
        <v>141.40899999999999</v>
      </c>
      <c r="E131" s="31">
        <v>97.342898539755268</v>
      </c>
      <c r="F131" s="75">
        <f>65+-0.490860293778184</f>
        <v>64.509139706221816</v>
      </c>
      <c r="G131" s="24">
        <v>101.72899535720464</v>
      </c>
      <c r="H131" s="73">
        <v>113.18493661440446</v>
      </c>
      <c r="I131" s="24">
        <v>98.116953398763258</v>
      </c>
      <c r="J131" s="24">
        <v>42.279118806046917</v>
      </c>
      <c r="K131" s="26">
        <v>7.5</v>
      </c>
      <c r="L131" s="26" t="s">
        <v>192</v>
      </c>
    </row>
    <row r="132" spans="2:15" ht="15" thickBot="1" x14ac:dyDescent="0.4">
      <c r="B132" s="48" t="s">
        <v>111</v>
      </c>
      <c r="C132" s="45" t="s">
        <v>228</v>
      </c>
      <c r="D132" s="82">
        <v>141.49299999999999</v>
      </c>
      <c r="E132" s="24">
        <v>100.31849298462302</v>
      </c>
      <c r="F132" s="75">
        <f>65+-0.675923833385013</f>
        <v>64.324076166614987</v>
      </c>
      <c r="G132" s="24">
        <v>98.038728219498211</v>
      </c>
      <c r="H132" s="73">
        <v>100.37631637133174</v>
      </c>
      <c r="I132" s="24">
        <v>101.36147974094435</v>
      </c>
      <c r="J132" s="24">
        <v>52.249767624077258</v>
      </c>
      <c r="K132" s="26">
        <v>7.4</v>
      </c>
      <c r="L132" s="26">
        <v>6.4</v>
      </c>
    </row>
    <row r="133" spans="2:15" ht="15" thickBot="1" x14ac:dyDescent="0.4">
      <c r="B133" s="49" t="s">
        <v>113</v>
      </c>
      <c r="C133" s="46" t="s">
        <v>228</v>
      </c>
      <c r="D133" s="82">
        <v>141.93700000000001</v>
      </c>
      <c r="E133" s="31">
        <v>98.802781651073303</v>
      </c>
      <c r="F133" s="75">
        <f>65+-1.08903354573238</f>
        <v>63.910966454267623</v>
      </c>
      <c r="G133" s="31">
        <v>102.80642048759896</v>
      </c>
      <c r="H133" s="76">
        <v>98.432994616998116</v>
      </c>
      <c r="I133" s="31">
        <v>102.96094140342566</v>
      </c>
      <c r="J133" s="24">
        <v>48.078906060348487</v>
      </c>
      <c r="K133" s="26">
        <v>5.6</v>
      </c>
      <c r="L133" s="26">
        <v>6.6</v>
      </c>
    </row>
    <row r="134" spans="2:15" ht="15" thickBot="1" x14ac:dyDescent="0.4">
      <c r="B134" s="48" t="s">
        <v>114</v>
      </c>
      <c r="C134" s="45" t="s">
        <v>229</v>
      </c>
      <c r="D134" s="82">
        <v>142.09199999999998</v>
      </c>
      <c r="E134" s="31">
        <v>98.954874604913996</v>
      </c>
      <c r="F134" s="75">
        <f>65+-0.530640461031098</f>
        <v>64.469359538968902</v>
      </c>
      <c r="G134" s="24">
        <v>101.35050721361547</v>
      </c>
      <c r="H134" s="73">
        <v>105.19723344095458</v>
      </c>
      <c r="I134" s="24">
        <v>98.048331582628833</v>
      </c>
      <c r="J134" s="24">
        <v>44.548762774885958</v>
      </c>
      <c r="K134" s="26">
        <v>7.7</v>
      </c>
      <c r="L134" s="26">
        <v>6.9</v>
      </c>
    </row>
    <row r="135" spans="2:15" ht="15" thickBot="1" x14ac:dyDescent="0.4">
      <c r="B135" s="48" t="s">
        <v>115</v>
      </c>
      <c r="C135" s="45" t="s">
        <v>231</v>
      </c>
      <c r="D135" s="82">
        <v>142.82</v>
      </c>
      <c r="E135" s="31">
        <v>98.466138859711322</v>
      </c>
      <c r="F135" s="75">
        <f>65+-0.136046365622448</f>
        <v>64.863953634377552</v>
      </c>
      <c r="G135" s="24">
        <v>100.6735865096223</v>
      </c>
      <c r="H135" s="73">
        <v>104.40096584023563</v>
      </c>
      <c r="I135" s="24">
        <v>102.34821246229765</v>
      </c>
      <c r="J135" s="24">
        <v>47.009944596129607</v>
      </c>
      <c r="K135" s="26">
        <v>7.4</v>
      </c>
      <c r="L135" s="26">
        <v>6.8</v>
      </c>
    </row>
    <row r="136" spans="2:15" ht="15" thickBot="1" x14ac:dyDescent="0.4">
      <c r="B136" s="49" t="s">
        <v>116</v>
      </c>
      <c r="C136" s="46" t="s">
        <v>228</v>
      </c>
      <c r="D136" s="82">
        <v>143.23500000000001</v>
      </c>
      <c r="E136" s="31">
        <v>99.971726546406813</v>
      </c>
      <c r="F136" s="75">
        <f>65+0.390382360054332</f>
        <v>65.390382360054332</v>
      </c>
      <c r="G136" s="24">
        <v>100.31086686619538</v>
      </c>
      <c r="H136" s="73">
        <v>105.92328540344948</v>
      </c>
      <c r="I136" s="24">
        <v>99.382031433278627</v>
      </c>
      <c r="J136" s="24">
        <v>51.077170315730378</v>
      </c>
      <c r="K136" s="26">
        <v>7.3</v>
      </c>
      <c r="L136" s="26">
        <v>6.5</v>
      </c>
    </row>
    <row r="137" spans="2:15" ht="15" thickBot="1" x14ac:dyDescent="0.4">
      <c r="B137" s="49" t="s">
        <v>117</v>
      </c>
      <c r="C137" s="46" t="s">
        <v>228</v>
      </c>
      <c r="D137" s="82">
        <v>143.351</v>
      </c>
      <c r="E137" s="31">
        <v>99.827121241410325</v>
      </c>
      <c r="F137" s="75">
        <f>65+0.623695968647169</f>
        <v>65.623695968647169</v>
      </c>
      <c r="G137" s="24">
        <v>102.36286214785528</v>
      </c>
      <c r="H137" s="73">
        <v>102.24801343057906</v>
      </c>
      <c r="I137" s="24">
        <v>103.4083228843288</v>
      </c>
      <c r="J137" s="24">
        <v>50.64806762407725</v>
      </c>
      <c r="K137" s="26">
        <v>7.5</v>
      </c>
      <c r="L137" s="26">
        <v>6.2</v>
      </c>
    </row>
    <row r="138" spans="2:15" ht="15" thickBot="1" x14ac:dyDescent="0.4">
      <c r="B138" s="30" t="s">
        <v>118</v>
      </c>
      <c r="C138" s="30" t="s">
        <v>228</v>
      </c>
      <c r="D138" s="82">
        <v>144.102</v>
      </c>
      <c r="E138" s="31">
        <v>100.62825141421879</v>
      </c>
      <c r="F138" s="75">
        <f>65+-0.984433570414325</f>
        <v>64.015566429585675</v>
      </c>
      <c r="G138" s="24">
        <v>103.13880448118147</v>
      </c>
      <c r="H138" s="73">
        <v>89.279977460983204</v>
      </c>
      <c r="I138" s="24">
        <v>102.88093529067625</v>
      </c>
      <c r="J138" s="24">
        <v>45.697212505374274</v>
      </c>
      <c r="K138" s="26">
        <v>7.3</v>
      </c>
      <c r="L138" s="26">
        <v>6.5</v>
      </c>
    </row>
    <row r="139" spans="2:15" x14ac:dyDescent="0.35">
      <c r="B139" s="38"/>
      <c r="C139" s="38"/>
    </row>
    <row r="140" spans="2:15" x14ac:dyDescent="0.35">
      <c r="B140" s="29"/>
      <c r="C140" s="29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</row>
    <row r="141" spans="2:15" ht="18.5" x14ac:dyDescent="0.45">
      <c r="B141" s="14" t="s">
        <v>250</v>
      </c>
      <c r="C141" s="14"/>
    </row>
    <row r="142" spans="2:15" s="13" customFormat="1" ht="15" thickBot="1" x14ac:dyDescent="0.4">
      <c r="B142" s="5"/>
      <c r="C142" s="5"/>
      <c r="D142"/>
      <c r="E142"/>
      <c r="F142"/>
      <c r="G142"/>
      <c r="H142"/>
      <c r="I142"/>
      <c r="J142"/>
      <c r="K142"/>
      <c r="L142"/>
      <c r="M142"/>
      <c r="N142"/>
      <c r="O142"/>
    </row>
    <row r="143" spans="2:15" ht="66.5" customHeight="1" thickBot="1" x14ac:dyDescent="0.4">
      <c r="B143" s="95" t="s">
        <v>6</v>
      </c>
      <c r="C143" s="95" t="s">
        <v>227</v>
      </c>
      <c r="D143" s="95" t="s">
        <v>7</v>
      </c>
      <c r="E143" s="98" t="s">
        <v>234</v>
      </c>
      <c r="F143" s="98" t="s">
        <v>132</v>
      </c>
      <c r="G143" s="93" t="s">
        <v>210</v>
      </c>
      <c r="H143" s="98" t="s">
        <v>235</v>
      </c>
      <c r="I143" s="95" t="s">
        <v>187</v>
      </c>
      <c r="J143" s="83" t="s">
        <v>215</v>
      </c>
      <c r="K143" s="84" t="s">
        <v>20</v>
      </c>
    </row>
    <row r="144" spans="2:15" ht="22.5" customHeight="1" thickBot="1" x14ac:dyDescent="0.4">
      <c r="B144" s="96"/>
      <c r="C144" s="96"/>
      <c r="D144" s="96"/>
      <c r="E144" s="112"/>
      <c r="F144" s="97"/>
      <c r="G144" s="94"/>
      <c r="H144" s="112"/>
      <c r="I144" s="96"/>
      <c r="J144" s="91" t="s">
        <v>214</v>
      </c>
      <c r="K144" s="92"/>
    </row>
    <row r="145" spans="1:11" ht="24.75" customHeight="1" thickBot="1" x14ac:dyDescent="0.4">
      <c r="B145" s="19" t="s">
        <v>3</v>
      </c>
      <c r="C145" s="129"/>
      <c r="D145" s="130"/>
      <c r="E145" s="130"/>
      <c r="F145" s="130"/>
      <c r="G145" s="130"/>
      <c r="H145" s="130"/>
      <c r="I145" s="130"/>
      <c r="J145" s="130"/>
      <c r="K145" s="131"/>
    </row>
    <row r="146" spans="1:11" ht="15" thickBot="1" x14ac:dyDescent="0.4">
      <c r="B146" s="161" t="s">
        <v>253</v>
      </c>
      <c r="C146" s="161" t="s">
        <v>230</v>
      </c>
      <c r="D146" s="82">
        <v>142.529</v>
      </c>
      <c r="E146" s="24">
        <v>98.606626302110953</v>
      </c>
      <c r="F146" s="25">
        <f>65+0.483461125243096</f>
        <v>65.483461125243096</v>
      </c>
      <c r="G146" s="24">
        <v>91.94744375236975</v>
      </c>
      <c r="H146" s="24">
        <v>112.28484840517372</v>
      </c>
      <c r="I146" s="24">
        <v>56.111731494552522</v>
      </c>
      <c r="J146" s="26">
        <v>7.4</v>
      </c>
      <c r="K146" s="26">
        <v>5.9</v>
      </c>
    </row>
    <row r="147" spans="1:11" ht="15" thickBot="1" x14ac:dyDescent="0.4">
      <c r="B147" s="34" t="s">
        <v>119</v>
      </c>
      <c r="C147" s="34" t="s">
        <v>228</v>
      </c>
      <c r="D147" s="82">
        <v>144.417</v>
      </c>
      <c r="E147" s="24">
        <v>99.676671316869189</v>
      </c>
      <c r="F147" s="25">
        <f>65+0.0919915238246318</f>
        <v>65.091991523824632</v>
      </c>
      <c r="G147" s="24">
        <v>100.70663520140228</v>
      </c>
      <c r="H147" s="24">
        <v>114.93446324345324</v>
      </c>
      <c r="I147" s="24">
        <v>60.114071431217681</v>
      </c>
      <c r="J147" s="25">
        <v>6.2</v>
      </c>
      <c r="K147" s="26">
        <v>4.4000000000000004</v>
      </c>
    </row>
    <row r="148" spans="1:11" ht="17.25" customHeight="1" thickBot="1" x14ac:dyDescent="0.4">
      <c r="B148" s="34" t="s">
        <v>120</v>
      </c>
      <c r="C148" s="34" t="s">
        <v>231</v>
      </c>
      <c r="D148" s="82">
        <v>147.50400000000002</v>
      </c>
      <c r="E148" s="24">
        <v>96.358429954196524</v>
      </c>
      <c r="F148" s="25">
        <f>65+1.01535459057666</f>
        <v>66.015354590576663</v>
      </c>
      <c r="G148" s="24">
        <v>100.60411066398623</v>
      </c>
      <c r="H148" s="24">
        <v>109.60583498290096</v>
      </c>
      <c r="I148" s="24">
        <v>55.387455500971782</v>
      </c>
      <c r="J148" s="35">
        <v>5.0999999999999996</v>
      </c>
      <c r="K148" s="27">
        <v>6.9</v>
      </c>
    </row>
    <row r="149" spans="1:11" ht="17.25" customHeight="1" thickBot="1" x14ac:dyDescent="0.4">
      <c r="B149" s="34" t="s">
        <v>121</v>
      </c>
      <c r="C149" s="34" t="s">
        <v>231</v>
      </c>
      <c r="D149" s="82">
        <v>148.071</v>
      </c>
      <c r="E149" s="24">
        <v>96.506381339059459</v>
      </c>
      <c r="F149" s="25">
        <f>65+0.0895021004857171</f>
        <v>65.089502100485717</v>
      </c>
      <c r="G149" s="24">
        <v>102.47037875970921</v>
      </c>
      <c r="H149" s="24">
        <v>99.393108308012941</v>
      </c>
      <c r="I149" s="24">
        <v>59.622677836883902</v>
      </c>
      <c r="J149" s="26">
        <v>6.7</v>
      </c>
      <c r="K149" s="26">
        <v>5.5</v>
      </c>
    </row>
    <row r="150" spans="1:11" ht="15" thickBot="1" x14ac:dyDescent="0.4">
      <c r="B150" s="19" t="s">
        <v>4</v>
      </c>
      <c r="C150" s="129"/>
      <c r="D150" s="130"/>
      <c r="E150" s="130"/>
      <c r="F150" s="130"/>
      <c r="G150" s="130"/>
      <c r="H150" s="130"/>
      <c r="I150" s="130"/>
      <c r="J150" s="130"/>
      <c r="K150" s="131"/>
    </row>
    <row r="151" spans="1:11" ht="15" thickBot="1" x14ac:dyDescent="0.4">
      <c r="B151" s="86" t="s">
        <v>252</v>
      </c>
      <c r="C151" s="86" t="s">
        <v>229</v>
      </c>
      <c r="D151" s="82">
        <v>136.114</v>
      </c>
      <c r="E151" s="54">
        <v>95.803079284442077</v>
      </c>
      <c r="F151" s="25">
        <f>65+3.74291442960059</f>
        <v>68.742914429600589</v>
      </c>
      <c r="G151" s="24">
        <v>70.707382925614993</v>
      </c>
      <c r="H151" s="24">
        <v>66.318400228870431</v>
      </c>
      <c r="I151" s="24">
        <v>82.499996234789407</v>
      </c>
      <c r="J151" s="25">
        <v>7.7</v>
      </c>
      <c r="K151" s="26" t="s">
        <v>169</v>
      </c>
    </row>
    <row r="152" spans="1:11" ht="15" thickBot="1" x14ac:dyDescent="0.4">
      <c r="B152" s="42" t="s">
        <v>122</v>
      </c>
      <c r="C152" s="42" t="s">
        <v>229</v>
      </c>
      <c r="D152" s="82">
        <v>139.89100000000002</v>
      </c>
      <c r="E152" s="24">
        <v>104.58934073506862</v>
      </c>
      <c r="F152" s="25">
        <f>65+3.60101668301471</f>
        <v>68.601016683014706</v>
      </c>
      <c r="G152" s="24">
        <v>99.775572165852452</v>
      </c>
      <c r="H152" s="24">
        <v>92.028509134346152</v>
      </c>
      <c r="I152" s="24">
        <v>55.495392969898674</v>
      </c>
      <c r="J152" s="25">
        <v>4.8</v>
      </c>
      <c r="K152" s="26">
        <v>7.8</v>
      </c>
    </row>
    <row r="153" spans="1:11" ht="15" thickBot="1" x14ac:dyDescent="0.4">
      <c r="A153" s="114"/>
      <c r="B153" s="34" t="s">
        <v>123</v>
      </c>
      <c r="C153" s="34" t="s">
        <v>228</v>
      </c>
      <c r="D153" s="82">
        <v>140.48399999999998</v>
      </c>
      <c r="E153" s="24">
        <v>99.641142273311445</v>
      </c>
      <c r="F153" s="25">
        <f>65+5.14710416616849</f>
        <v>70.147104166168489</v>
      </c>
      <c r="G153" s="24">
        <v>103.38441073145562</v>
      </c>
      <c r="H153" s="24">
        <v>99.16625806728058</v>
      </c>
      <c r="I153" s="24">
        <v>62.401749885599529</v>
      </c>
      <c r="J153" s="26">
        <v>4.4000000000000004</v>
      </c>
      <c r="K153" s="26">
        <v>6.3</v>
      </c>
    </row>
    <row r="154" spans="1:11" ht="15" thickBot="1" x14ac:dyDescent="0.4">
      <c r="A154" s="114"/>
      <c r="B154" s="42" t="s">
        <v>206</v>
      </c>
      <c r="C154" s="42" t="s">
        <v>228</v>
      </c>
      <c r="D154" s="82">
        <v>142.57999999999998</v>
      </c>
      <c r="E154" s="24">
        <v>100.65633817748113</v>
      </c>
      <c r="F154" s="25">
        <f>65+3.76134794450404</f>
        <v>68.761347944504038</v>
      </c>
      <c r="G154" s="24">
        <v>100.10100176361276</v>
      </c>
      <c r="H154" s="24">
        <v>109.79280512424643</v>
      </c>
      <c r="I154" s="24">
        <v>62.150029041619312</v>
      </c>
      <c r="J154" s="26">
        <v>6.4</v>
      </c>
      <c r="K154" s="26">
        <v>7</v>
      </c>
    </row>
    <row r="155" spans="1:11" ht="15" thickBot="1" x14ac:dyDescent="0.4">
      <c r="A155" s="114"/>
      <c r="B155" s="42" t="s">
        <v>188</v>
      </c>
      <c r="C155" s="42" t="s">
        <v>230</v>
      </c>
      <c r="D155" s="82">
        <v>143.29300000000001</v>
      </c>
      <c r="E155" s="24">
        <v>104.37989579440132</v>
      </c>
      <c r="F155" s="25">
        <f>65+5.12679445859074</f>
        <v>70.126794458590737</v>
      </c>
      <c r="G155" s="24">
        <v>99.880738295120224</v>
      </c>
      <c r="H155" s="24">
        <v>106.94685063243411</v>
      </c>
      <c r="I155" s="24">
        <v>66.538731494529955</v>
      </c>
      <c r="J155" s="26">
        <v>7.6</v>
      </c>
      <c r="K155" s="26">
        <v>6.4</v>
      </c>
    </row>
    <row r="156" spans="1:11" ht="15.75" customHeight="1" thickBot="1" x14ac:dyDescent="0.4">
      <c r="A156" s="17"/>
      <c r="B156" s="34" t="s">
        <v>124</v>
      </c>
      <c r="C156" s="34" t="s">
        <v>228</v>
      </c>
      <c r="D156" s="82">
        <v>143.34399999999999</v>
      </c>
      <c r="E156" s="24">
        <v>98.833283901103115</v>
      </c>
      <c r="F156" s="25">
        <f>65+4.26635459057665</f>
        <v>69.266354590576654</v>
      </c>
      <c r="G156" s="24">
        <v>99.716056617446625</v>
      </c>
      <c r="H156" s="24">
        <v>93.708072261430516</v>
      </c>
      <c r="I156" s="24">
        <v>63.498655500971772</v>
      </c>
      <c r="J156" s="26">
        <v>7</v>
      </c>
      <c r="K156" s="26">
        <v>6.4</v>
      </c>
    </row>
    <row r="157" spans="1:11" ht="15" thickBot="1" x14ac:dyDescent="0.4">
      <c r="A157" s="18"/>
      <c r="B157" s="42" t="s">
        <v>125</v>
      </c>
      <c r="C157" s="42" t="s">
        <v>228</v>
      </c>
      <c r="D157" s="82">
        <v>143.82999999999998</v>
      </c>
      <c r="E157" s="24">
        <v>99.427158264154585</v>
      </c>
      <c r="F157" s="25">
        <f>65+7.07436680957039</f>
        <v>72.074366809570392</v>
      </c>
      <c r="G157" s="24">
        <v>98.235941577328532</v>
      </c>
      <c r="H157" s="24">
        <v>82.530107418973117</v>
      </c>
      <c r="I157" s="24">
        <v>65.068047128337682</v>
      </c>
      <c r="J157" s="26">
        <v>5.8</v>
      </c>
      <c r="K157" s="26">
        <v>7</v>
      </c>
    </row>
    <row r="158" spans="1:11" ht="15" thickBot="1" x14ac:dyDescent="0.4">
      <c r="A158" s="18"/>
      <c r="B158" s="42" t="s">
        <v>126</v>
      </c>
      <c r="C158" s="42" t="s">
        <v>231</v>
      </c>
      <c r="D158" s="82">
        <v>143.876</v>
      </c>
      <c r="E158" s="24">
        <v>98.318631171797236</v>
      </c>
      <c r="F158" s="25">
        <f>65+4.47335459057663</f>
        <v>69.473354590576633</v>
      </c>
      <c r="G158" s="24">
        <v>99.962322966888209</v>
      </c>
      <c r="H158" s="24">
        <v>83.124630709647391</v>
      </c>
      <c r="I158" s="24">
        <v>69.734555500971766</v>
      </c>
      <c r="J158" s="25">
        <v>4.4000000000000004</v>
      </c>
      <c r="K158" s="26">
        <v>6.4</v>
      </c>
    </row>
    <row r="159" spans="1:11" ht="15" thickBot="1" x14ac:dyDescent="0.4">
      <c r="A159" s="18"/>
      <c r="B159" s="42" t="s">
        <v>127</v>
      </c>
      <c r="C159" s="42" t="s">
        <v>230</v>
      </c>
      <c r="D159" s="82">
        <v>143.93099999999998</v>
      </c>
      <c r="E159" s="24">
        <v>99.78710904951626</v>
      </c>
      <c r="F159" s="25">
        <f>65+3.23050134618495</f>
        <v>68.230501346184951</v>
      </c>
      <c r="G159" s="24">
        <v>94.474251970004701</v>
      </c>
      <c r="H159" s="24">
        <v>105.78806347855213</v>
      </c>
      <c r="I159" s="24">
        <v>63.014864992860183</v>
      </c>
      <c r="J159" s="25">
        <v>6</v>
      </c>
      <c r="K159" s="26">
        <v>7.5</v>
      </c>
    </row>
    <row r="160" spans="1:11" ht="15" thickBot="1" x14ac:dyDescent="0.4">
      <c r="A160" s="18"/>
      <c r="B160" s="42" t="s">
        <v>258</v>
      </c>
      <c r="C160" s="42" t="s">
        <v>231</v>
      </c>
      <c r="D160" s="82">
        <v>144.44400000000002</v>
      </c>
      <c r="E160" s="24">
        <v>100.65138869148714</v>
      </c>
      <c r="F160" s="25">
        <f>65+1.31835459057666</f>
        <v>66.318354590576661</v>
      </c>
      <c r="G160" s="24">
        <v>101.25698034680933</v>
      </c>
      <c r="H160" s="24">
        <v>111.76901553192312</v>
      </c>
      <c r="I160" s="24">
        <v>57.377555500971781</v>
      </c>
      <c r="J160" s="26">
        <v>5.6</v>
      </c>
      <c r="K160" s="26">
        <v>6.6</v>
      </c>
    </row>
    <row r="161" spans="1:13" ht="15" thickBot="1" x14ac:dyDescent="0.4">
      <c r="A161" s="18"/>
      <c r="B161" s="34" t="s">
        <v>128</v>
      </c>
      <c r="C161" s="34" t="s">
        <v>230</v>
      </c>
      <c r="D161" s="82">
        <v>144.87299999999999</v>
      </c>
      <c r="E161" s="24">
        <v>101.40853118288845</v>
      </c>
      <c r="F161" s="25">
        <f>65+5.21432085054248</f>
        <v>70.214320850542478</v>
      </c>
      <c r="G161" s="24">
        <v>97.388263761014045</v>
      </c>
      <c r="H161" s="24">
        <v>92.888995010436147</v>
      </c>
      <c r="I161" s="24">
        <v>66.759018030981352</v>
      </c>
      <c r="J161" s="25">
        <v>7.3</v>
      </c>
      <c r="K161" s="26">
        <v>6.3</v>
      </c>
    </row>
    <row r="162" spans="1:13" ht="15" thickBot="1" x14ac:dyDescent="0.4">
      <c r="A162" s="18"/>
      <c r="B162" s="42" t="s">
        <v>129</v>
      </c>
      <c r="C162" s="42" t="s">
        <v>230</v>
      </c>
      <c r="D162" s="82">
        <v>144.875</v>
      </c>
      <c r="E162" s="24">
        <v>102.83956325375853</v>
      </c>
      <c r="F162" s="25">
        <f>65+5.5895129575504</f>
        <v>70.589512957550397</v>
      </c>
      <c r="G162" s="24">
        <v>107.24087033228795</v>
      </c>
      <c r="H162" s="25">
        <v>86.595779964176984</v>
      </c>
      <c r="I162" s="24">
        <v>61.455926156131824</v>
      </c>
      <c r="J162" s="26">
        <v>5.0999999999999996</v>
      </c>
      <c r="K162" s="26">
        <v>6.8</v>
      </c>
    </row>
    <row r="163" spans="1:13" ht="18" customHeight="1" thickBot="1" x14ac:dyDescent="0.4">
      <c r="A163" s="18"/>
      <c r="B163" s="42" t="s">
        <v>205</v>
      </c>
      <c r="C163" s="42" t="s">
        <v>230</v>
      </c>
      <c r="D163" s="82">
        <v>145.22899999999998</v>
      </c>
      <c r="E163" s="24">
        <v>101.54068142097202</v>
      </c>
      <c r="F163" s="25">
        <f>65+4.47012779192409</f>
        <v>69.470127791924085</v>
      </c>
      <c r="G163" s="24">
        <v>98.084752989550324</v>
      </c>
      <c r="H163" s="24">
        <v>92.913082294499191</v>
      </c>
      <c r="I163" s="24">
        <v>60.381398161196621</v>
      </c>
      <c r="J163" s="26">
        <v>3.8</v>
      </c>
      <c r="K163" s="26">
        <v>7.2</v>
      </c>
    </row>
    <row r="164" spans="1:13" ht="15" thickBot="1" x14ac:dyDescent="0.4">
      <c r="A164" s="18"/>
      <c r="B164" s="42" t="s">
        <v>130</v>
      </c>
      <c r="C164" s="42" t="s">
        <v>228</v>
      </c>
      <c r="D164" s="82">
        <v>145.51600000000002</v>
      </c>
      <c r="E164" s="24">
        <v>102.04263952300371</v>
      </c>
      <c r="F164" s="25">
        <f>65+4.41035459057667</f>
        <v>69.410354590576674</v>
      </c>
      <c r="G164" s="24">
        <v>97.855954108754261</v>
      </c>
      <c r="H164" s="24">
        <v>99.868293884616065</v>
      </c>
      <c r="I164" s="24">
        <v>61.348501229135053</v>
      </c>
      <c r="J164" s="26">
        <v>6.4</v>
      </c>
      <c r="K164" s="26">
        <v>6.9</v>
      </c>
    </row>
    <row r="165" spans="1:13" ht="15" thickBot="1" x14ac:dyDescent="0.4">
      <c r="A165" s="18"/>
      <c r="B165" s="42" t="s">
        <v>259</v>
      </c>
      <c r="C165" s="42" t="s">
        <v>231</v>
      </c>
      <c r="D165" s="82">
        <v>146.428</v>
      </c>
      <c r="E165" s="24">
        <v>100.95075137338685</v>
      </c>
      <c r="F165" s="25">
        <f>65+2.07147005888105</f>
        <v>67.071470058881047</v>
      </c>
      <c r="G165" s="24">
        <v>98.045597386735423</v>
      </c>
      <c r="H165" s="24">
        <v>101.24651159817107</v>
      </c>
      <c r="I165" s="24">
        <v>58.694739462017886</v>
      </c>
      <c r="J165" s="26">
        <v>6.7</v>
      </c>
      <c r="K165" s="26">
        <v>5.9</v>
      </c>
    </row>
    <row r="166" spans="1:13" ht="15" thickBot="1" x14ac:dyDescent="0.4">
      <c r="A166" s="18"/>
      <c r="B166" s="42" t="s">
        <v>131</v>
      </c>
      <c r="C166" s="42" t="s">
        <v>229</v>
      </c>
      <c r="D166" s="82">
        <v>149.006</v>
      </c>
      <c r="E166" s="24">
        <v>101.31063316642191</v>
      </c>
      <c r="F166" s="25">
        <f>65+2.69383692088991</f>
        <v>67.693836920889908</v>
      </c>
      <c r="G166" s="24">
        <v>98.647252090533996</v>
      </c>
      <c r="H166" s="24">
        <v>97.037599327806291</v>
      </c>
      <c r="I166" s="24">
        <v>57.810319598799794</v>
      </c>
      <c r="J166" s="25">
        <v>2.4</v>
      </c>
      <c r="K166" s="26">
        <v>6.6</v>
      </c>
    </row>
    <row r="167" spans="1:13" x14ac:dyDescent="0.35">
      <c r="A167" s="18"/>
      <c r="B167" s="5" t="s">
        <v>261</v>
      </c>
    </row>
    <row r="168" spans="1:13" x14ac:dyDescent="0.35">
      <c r="A168" s="18"/>
      <c r="B168" s="6"/>
      <c r="C168" s="6"/>
    </row>
    <row r="169" spans="1:13" s="13" customFormat="1" ht="19.5" customHeight="1" x14ac:dyDescent="0.45">
      <c r="B169" s="14" t="s">
        <v>218</v>
      </c>
      <c r="C169" s="14"/>
      <c r="D169"/>
      <c r="E169"/>
      <c r="F169"/>
      <c r="G169"/>
      <c r="H169"/>
      <c r="I169"/>
      <c r="J169"/>
      <c r="K169"/>
      <c r="L169"/>
      <c r="M169"/>
    </row>
    <row r="170" spans="1:13" ht="15" thickBot="1" x14ac:dyDescent="0.4"/>
    <row r="171" spans="1:13" ht="15" customHeight="1" x14ac:dyDescent="0.35">
      <c r="B171" s="95" t="s">
        <v>6</v>
      </c>
      <c r="C171" s="95" t="s">
        <v>227</v>
      </c>
      <c r="D171" s="95" t="s">
        <v>7</v>
      </c>
      <c r="E171" s="100" t="s">
        <v>8</v>
      </c>
      <c r="F171" s="101"/>
      <c r="G171" s="102"/>
      <c r="H171" s="100" t="s">
        <v>0</v>
      </c>
      <c r="I171" s="101"/>
      <c r="J171" s="102"/>
      <c r="K171" s="95" t="s">
        <v>254</v>
      </c>
      <c r="L171" s="88" t="s">
        <v>21</v>
      </c>
    </row>
    <row r="172" spans="1:13" ht="15" thickBot="1" x14ac:dyDescent="0.4">
      <c r="B172" s="115"/>
      <c r="C172" s="115"/>
      <c r="D172" s="115"/>
      <c r="E172" s="103"/>
      <c r="F172" s="104"/>
      <c r="G172" s="105"/>
      <c r="H172" s="106"/>
      <c r="I172" s="107"/>
      <c r="J172" s="108"/>
      <c r="K172" s="90"/>
      <c r="L172" s="89"/>
    </row>
    <row r="173" spans="1:13" ht="9.75" customHeight="1" thickBot="1" x14ac:dyDescent="0.4">
      <c r="B173" s="115"/>
      <c r="C173" s="115"/>
      <c r="D173" s="115"/>
      <c r="E173" s="98" t="s">
        <v>236</v>
      </c>
      <c r="F173" s="99" t="s">
        <v>133</v>
      </c>
      <c r="G173" s="116" t="s">
        <v>207</v>
      </c>
      <c r="H173" s="97" t="s">
        <v>237</v>
      </c>
      <c r="I173" s="90" t="s">
        <v>10</v>
      </c>
      <c r="J173" s="90" t="s">
        <v>208</v>
      </c>
      <c r="K173" s="90"/>
      <c r="L173" s="89"/>
    </row>
    <row r="174" spans="1:13" ht="59.25" customHeight="1" thickBot="1" x14ac:dyDescent="0.4">
      <c r="B174" s="115"/>
      <c r="C174" s="96"/>
      <c r="D174" s="115"/>
      <c r="E174" s="97"/>
      <c r="F174" s="98"/>
      <c r="G174" s="117"/>
      <c r="H174" s="97"/>
      <c r="I174" s="90"/>
      <c r="J174" s="90"/>
      <c r="K174" s="91" t="s">
        <v>214</v>
      </c>
      <c r="L174" s="92"/>
    </row>
    <row r="175" spans="1:13" ht="15" thickBot="1" x14ac:dyDescent="0.4">
      <c r="B175" s="36" t="s">
        <v>134</v>
      </c>
      <c r="C175" s="36" t="s">
        <v>228</v>
      </c>
      <c r="D175" s="82">
        <v>159.13999999999999</v>
      </c>
      <c r="E175" s="22">
        <v>100</v>
      </c>
      <c r="F175" s="72">
        <f>65+7.2</f>
        <v>72.2</v>
      </c>
      <c r="G175" s="22">
        <v>101</v>
      </c>
      <c r="H175" s="24">
        <v>100.54545454545455</v>
      </c>
      <c r="I175" s="21">
        <f>65+-0.200000000000003</f>
        <v>64.8</v>
      </c>
      <c r="J175" s="24">
        <v>101</v>
      </c>
      <c r="K175" s="73">
        <v>73.5</v>
      </c>
      <c r="L175" s="21">
        <v>7</v>
      </c>
    </row>
    <row r="176" spans="1:13" ht="15" thickBot="1" x14ac:dyDescent="0.4">
      <c r="B176" s="30" t="s">
        <v>135</v>
      </c>
      <c r="C176" s="30" t="s">
        <v>228</v>
      </c>
      <c r="D176" s="82">
        <v>159.47</v>
      </c>
      <c r="E176" s="22">
        <v>100</v>
      </c>
      <c r="F176" s="72">
        <f>65+6.40000000000001</f>
        <v>71.400000000000006</v>
      </c>
      <c r="G176" s="22">
        <v>99</v>
      </c>
      <c r="H176" s="24">
        <v>99.5</v>
      </c>
      <c r="I176" s="21">
        <f>65+-0.200000000000003</f>
        <v>64.8</v>
      </c>
      <c r="J176" s="24">
        <v>99</v>
      </c>
      <c r="K176" s="73">
        <v>73.2</v>
      </c>
      <c r="L176" s="21">
        <v>6.9</v>
      </c>
    </row>
    <row r="177" spans="2:13" ht="15" thickBot="1" x14ac:dyDescent="0.4">
      <c r="B177" s="36" t="s">
        <v>136</v>
      </c>
      <c r="C177" s="36" t="s">
        <v>228</v>
      </c>
      <c r="D177" s="82">
        <v>159.82999999999998</v>
      </c>
      <c r="E177" s="22">
        <v>103</v>
      </c>
      <c r="F177" s="72">
        <f>65+6.2</f>
        <v>71.2</v>
      </c>
      <c r="G177" s="22">
        <v>102</v>
      </c>
      <c r="H177" s="24">
        <v>101.45454545454545</v>
      </c>
      <c r="I177" s="21">
        <f>65+-0.5</f>
        <v>64.5</v>
      </c>
      <c r="J177" s="24">
        <v>101</v>
      </c>
      <c r="K177" s="73">
        <v>72.099999999999994</v>
      </c>
      <c r="L177" s="21">
        <v>7</v>
      </c>
    </row>
    <row r="178" spans="2:13" ht="15" thickBot="1" x14ac:dyDescent="0.4">
      <c r="B178" s="36" t="s">
        <v>137</v>
      </c>
      <c r="C178" s="36" t="s">
        <v>231</v>
      </c>
      <c r="D178" s="82">
        <v>160.11000000000001</v>
      </c>
      <c r="E178" s="22">
        <v>96</v>
      </c>
      <c r="F178" s="72">
        <f>65+7.5</f>
        <v>72.5</v>
      </c>
      <c r="G178" s="22">
        <v>97</v>
      </c>
      <c r="H178" s="24">
        <v>96.454545454545453</v>
      </c>
      <c r="I178" s="21">
        <f>65+1</f>
        <v>66</v>
      </c>
      <c r="J178" s="24">
        <v>97</v>
      </c>
      <c r="K178" s="73">
        <v>76.400000000000006</v>
      </c>
      <c r="L178" s="21">
        <v>6.8</v>
      </c>
    </row>
    <row r="179" spans="2:13" ht="15" thickBot="1" x14ac:dyDescent="0.4">
      <c r="B179" s="36" t="s">
        <v>138</v>
      </c>
      <c r="C179" s="36" t="s">
        <v>228</v>
      </c>
      <c r="D179" s="82">
        <v>161.20999999999998</v>
      </c>
      <c r="E179" s="22">
        <v>100</v>
      </c>
      <c r="F179" s="72">
        <f>65+6.7</f>
        <v>71.7</v>
      </c>
      <c r="G179" s="22">
        <v>100</v>
      </c>
      <c r="H179" s="24">
        <v>98.909090909090907</v>
      </c>
      <c r="I179" s="21">
        <f>65+-0.900000000000006</f>
        <v>64.099999999999994</v>
      </c>
      <c r="J179" s="24">
        <v>97</v>
      </c>
      <c r="K179" s="73">
        <v>74.7</v>
      </c>
      <c r="L179" s="21">
        <v>6.7</v>
      </c>
    </row>
    <row r="180" spans="2:13" ht="15" thickBot="1" x14ac:dyDescent="0.4">
      <c r="B180" s="30" t="s">
        <v>139</v>
      </c>
      <c r="C180" s="30" t="s">
        <v>228</v>
      </c>
      <c r="D180" s="82">
        <v>161.62</v>
      </c>
      <c r="E180" s="22">
        <v>97</v>
      </c>
      <c r="F180" s="72">
        <f>65+8.7</f>
        <v>73.7</v>
      </c>
      <c r="G180" s="22">
        <v>99</v>
      </c>
      <c r="H180" s="24">
        <v>99.63636363636364</v>
      </c>
      <c r="I180" s="21">
        <f>65+2</f>
        <v>67</v>
      </c>
      <c r="J180" s="24">
        <v>103</v>
      </c>
      <c r="K180" s="73">
        <v>77.2</v>
      </c>
      <c r="L180" s="21">
        <v>6.6</v>
      </c>
    </row>
    <row r="181" spans="2:13" ht="15" thickBot="1" x14ac:dyDescent="0.4">
      <c r="B181" s="36" t="s">
        <v>140</v>
      </c>
      <c r="C181" s="36" t="s">
        <v>230</v>
      </c>
      <c r="D181" s="82">
        <v>164</v>
      </c>
      <c r="E181" s="22">
        <v>101</v>
      </c>
      <c r="F181" s="72">
        <f>65+8.7</f>
        <v>73.7</v>
      </c>
      <c r="G181" s="22">
        <v>104</v>
      </c>
      <c r="H181" s="24">
        <v>98.058823529411768</v>
      </c>
      <c r="I181" s="21">
        <f>65+3.3</f>
        <v>68.3</v>
      </c>
      <c r="J181" s="24">
        <v>99</v>
      </c>
      <c r="K181" s="73">
        <v>73.099999999999994</v>
      </c>
      <c r="L181" s="23" t="s">
        <v>169</v>
      </c>
    </row>
    <row r="182" spans="2:13" x14ac:dyDescent="0.35">
      <c r="B182"/>
      <c r="C182"/>
    </row>
    <row r="183" spans="2:13" x14ac:dyDescent="0.35">
      <c r="M183" s="13"/>
    </row>
    <row r="184" spans="2:13" ht="15.5" x14ac:dyDescent="0.35">
      <c r="B184" s="15" t="s">
        <v>219</v>
      </c>
      <c r="C184" s="15"/>
    </row>
    <row r="185" spans="2:13" s="13" customFormat="1" ht="15" thickBot="1" x14ac:dyDescent="0.4">
      <c r="B185" s="5"/>
      <c r="C185" s="5"/>
      <c r="D185"/>
      <c r="E185"/>
      <c r="F185"/>
      <c r="G185"/>
      <c r="H185"/>
      <c r="I185"/>
      <c r="J185"/>
      <c r="K185"/>
      <c r="L185"/>
      <c r="M185"/>
    </row>
    <row r="186" spans="2:13" ht="15" thickBot="1" x14ac:dyDescent="0.4">
      <c r="B186" s="118" t="s">
        <v>6</v>
      </c>
      <c r="C186" s="95" t="s">
        <v>227</v>
      </c>
      <c r="D186" s="119" t="s">
        <v>220</v>
      </c>
      <c r="E186" s="121" t="s">
        <v>22</v>
      </c>
      <c r="F186" s="100" t="s">
        <v>23</v>
      </c>
      <c r="G186" s="100" t="s">
        <v>221</v>
      </c>
      <c r="H186" s="102"/>
    </row>
    <row r="187" spans="2:13" ht="15" thickBot="1" x14ac:dyDescent="0.4">
      <c r="B187" s="118"/>
      <c r="C187" s="115"/>
      <c r="D187" s="120"/>
      <c r="E187" s="122"/>
      <c r="F187" s="103"/>
      <c r="G187" s="103"/>
      <c r="H187" s="105"/>
    </row>
    <row r="188" spans="2:13" ht="27.75" customHeight="1" thickBot="1" x14ac:dyDescent="0.4">
      <c r="B188" s="118"/>
      <c r="C188" s="115"/>
      <c r="D188" s="120"/>
      <c r="E188" s="98" t="s">
        <v>238</v>
      </c>
      <c r="F188" s="98" t="s">
        <v>239</v>
      </c>
      <c r="G188" s="110" t="s">
        <v>2</v>
      </c>
      <c r="H188" s="110" t="s">
        <v>5</v>
      </c>
    </row>
    <row r="189" spans="2:13" ht="37.5" customHeight="1" thickBot="1" x14ac:dyDescent="0.4">
      <c r="B189" s="118"/>
      <c r="C189" s="96"/>
      <c r="D189" s="120"/>
      <c r="E189" s="97"/>
      <c r="F189" s="97"/>
      <c r="G189" s="90"/>
      <c r="H189" s="90"/>
    </row>
    <row r="190" spans="2:13" ht="15" thickBot="1" x14ac:dyDescent="0.4">
      <c r="B190" s="43" t="s">
        <v>141</v>
      </c>
      <c r="C190" s="43" t="s">
        <v>228</v>
      </c>
      <c r="D190" s="24">
        <v>405.245</v>
      </c>
      <c r="E190" s="28">
        <v>69.280660434366041</v>
      </c>
      <c r="F190" s="28">
        <v>89.086466230032684</v>
      </c>
      <c r="G190" s="22">
        <v>48.61</v>
      </c>
      <c r="H190" s="22">
        <v>60.03</v>
      </c>
    </row>
    <row r="191" spans="2:13" ht="15" thickBot="1" x14ac:dyDescent="0.4">
      <c r="B191" s="43" t="s">
        <v>142</v>
      </c>
      <c r="C191" s="43" t="s">
        <v>228</v>
      </c>
      <c r="D191" s="24">
        <v>599.10299999999995</v>
      </c>
      <c r="E191" s="28">
        <v>74.532746650114248</v>
      </c>
      <c r="F191" s="28">
        <v>92.757230084248263</v>
      </c>
      <c r="G191" s="24">
        <v>50.51</v>
      </c>
      <c r="H191" s="24">
        <v>56.56</v>
      </c>
    </row>
    <row r="192" spans="2:13" ht="15" thickBot="1" x14ac:dyDescent="0.4">
      <c r="B192" s="43" t="s">
        <v>144</v>
      </c>
      <c r="C192" s="43" t="s">
        <v>228</v>
      </c>
      <c r="D192" s="24">
        <v>731.26700000000005</v>
      </c>
      <c r="E192" s="28">
        <v>95.335926419018307</v>
      </c>
      <c r="F192" s="28">
        <v>97.323257259469727</v>
      </c>
      <c r="G192" s="24">
        <v>55.05</v>
      </c>
      <c r="H192" s="24">
        <v>58.69</v>
      </c>
    </row>
    <row r="193" spans="2:12" ht="15" thickBot="1" x14ac:dyDescent="0.4">
      <c r="B193" s="43" t="s">
        <v>143</v>
      </c>
      <c r="C193" s="43" t="s">
        <v>228</v>
      </c>
      <c r="D193" s="24">
        <v>732.58600000000001</v>
      </c>
      <c r="E193" s="28">
        <v>107.81667406305205</v>
      </c>
      <c r="F193" s="28">
        <v>102.25835759049102</v>
      </c>
      <c r="G193" s="24">
        <v>56.65</v>
      </c>
      <c r="H193" s="24">
        <v>51.63</v>
      </c>
    </row>
    <row r="194" spans="2:12" ht="15" thickBot="1" x14ac:dyDescent="0.4">
      <c r="B194" s="43" t="s">
        <v>145</v>
      </c>
      <c r="C194" s="43" t="s">
        <v>230</v>
      </c>
      <c r="D194" s="24">
        <v>741.34</v>
      </c>
      <c r="E194" s="28">
        <v>93.425435250689134</v>
      </c>
      <c r="F194" s="28">
        <v>100.9003170027365</v>
      </c>
      <c r="G194" s="24">
        <v>57.41</v>
      </c>
      <c r="H194" s="24">
        <v>70.67</v>
      </c>
    </row>
    <row r="195" spans="2:12" ht="18" customHeight="1" thickBot="1" x14ac:dyDescent="0.4">
      <c r="B195" s="43" t="s">
        <v>146</v>
      </c>
      <c r="C195" s="43" t="s">
        <v>228</v>
      </c>
      <c r="D195" s="24">
        <v>793.04499999999996</v>
      </c>
      <c r="E195" s="28">
        <v>97.654040601804709</v>
      </c>
      <c r="F195" s="28">
        <v>97.259967872582166</v>
      </c>
      <c r="G195" s="24">
        <v>55.47</v>
      </c>
      <c r="H195" s="24">
        <v>54.79</v>
      </c>
    </row>
    <row r="196" spans="2:12" ht="15" thickBot="1" x14ac:dyDescent="0.4">
      <c r="B196" s="43" t="s">
        <v>147</v>
      </c>
      <c r="C196" s="43" t="s">
        <v>228</v>
      </c>
      <c r="D196" s="24">
        <v>890.39300000000003</v>
      </c>
      <c r="E196" s="28">
        <v>112.46008127322251</v>
      </c>
      <c r="F196" s="28">
        <v>103.88690910135145</v>
      </c>
      <c r="G196" s="24">
        <v>56.92</v>
      </c>
      <c r="H196" s="24">
        <v>55.76</v>
      </c>
    </row>
    <row r="197" spans="2:12" ht="15" thickBot="1" x14ac:dyDescent="0.4">
      <c r="B197" s="43" t="s">
        <v>148</v>
      </c>
      <c r="C197" s="43" t="s">
        <v>228</v>
      </c>
      <c r="D197" s="24">
        <v>913.00099999999998</v>
      </c>
      <c r="E197" s="28">
        <v>111.41975308641976</v>
      </c>
      <c r="F197" s="28">
        <v>104.5419321264812</v>
      </c>
      <c r="G197" s="24">
        <v>54.05</v>
      </c>
      <c r="H197" s="24">
        <v>54.09</v>
      </c>
    </row>
    <row r="198" spans="2:12" ht="15" thickBot="1" x14ac:dyDescent="0.4">
      <c r="B198" s="43" t="s">
        <v>149</v>
      </c>
      <c r="C198" s="43" t="s">
        <v>229</v>
      </c>
      <c r="D198" s="24">
        <v>928.09199999999998</v>
      </c>
      <c r="E198" s="28">
        <v>119.87773726685677</v>
      </c>
      <c r="F198" s="28">
        <v>109.92348561177698</v>
      </c>
      <c r="G198" s="24">
        <v>57.96</v>
      </c>
      <c r="H198" s="24">
        <v>48.28</v>
      </c>
    </row>
    <row r="199" spans="2:12" ht="15" thickBot="1" x14ac:dyDescent="0.4">
      <c r="B199" s="43" t="s">
        <v>150</v>
      </c>
      <c r="C199" s="43" t="s">
        <v>228</v>
      </c>
      <c r="D199" s="24">
        <v>1011.847</v>
      </c>
      <c r="E199" s="28">
        <v>108.02096899415929</v>
      </c>
      <c r="F199" s="28">
        <v>102.45310445816038</v>
      </c>
      <c r="G199" s="24">
        <v>57.84</v>
      </c>
      <c r="H199" s="24">
        <v>56.26</v>
      </c>
    </row>
    <row r="200" spans="2:12" ht="15" thickBot="1" x14ac:dyDescent="0.4">
      <c r="B200" s="43" t="s">
        <v>152</v>
      </c>
      <c r="C200" s="43" t="s">
        <v>228</v>
      </c>
      <c r="D200" s="24">
        <v>1035.6949999999999</v>
      </c>
      <c r="E200" s="28">
        <v>109.76528320421082</v>
      </c>
      <c r="F200" s="28">
        <v>103.42961780682771</v>
      </c>
      <c r="G200" s="24">
        <v>58.44</v>
      </c>
      <c r="H200" s="24">
        <v>64.959999999999994</v>
      </c>
    </row>
    <row r="201" spans="2:12" ht="15" thickBot="1" x14ac:dyDescent="0.4">
      <c r="B201" s="43" t="s">
        <v>151</v>
      </c>
      <c r="C201" s="43" t="s">
        <v>230</v>
      </c>
      <c r="D201" s="24">
        <v>1037.509</v>
      </c>
      <c r="E201" s="28">
        <v>131.78678783202761</v>
      </c>
      <c r="F201" s="28">
        <v>110.39489839578027</v>
      </c>
      <c r="G201" s="24">
        <v>65.23</v>
      </c>
      <c r="H201" s="24">
        <v>57.38</v>
      </c>
    </row>
    <row r="202" spans="2:12" ht="15" thickBot="1" x14ac:dyDescent="0.4">
      <c r="B202" s="43" t="s">
        <v>153</v>
      </c>
      <c r="C202" s="43" t="s">
        <v>230</v>
      </c>
      <c r="D202" s="24">
        <v>1079.703</v>
      </c>
      <c r="E202" s="28">
        <v>108.225457294818</v>
      </c>
      <c r="F202" s="28">
        <v>106.91705961357965</v>
      </c>
      <c r="G202" s="24">
        <v>52.93</v>
      </c>
      <c r="H202" s="24">
        <v>57.37</v>
      </c>
    </row>
    <row r="203" spans="2:12" ht="15" thickBot="1" x14ac:dyDescent="0.4">
      <c r="B203" s="43" t="s">
        <v>155</v>
      </c>
      <c r="C203" s="43" t="s">
        <v>230</v>
      </c>
      <c r="D203" s="24">
        <v>1250.3979999999999</v>
      </c>
      <c r="E203" s="28">
        <v>114.45002315600384</v>
      </c>
      <c r="F203" s="28">
        <v>102.58303862958151</v>
      </c>
      <c r="G203" s="24">
        <v>53.04</v>
      </c>
      <c r="H203" s="24">
        <v>56.61</v>
      </c>
    </row>
    <row r="204" spans="2:12" ht="15" thickBot="1" x14ac:dyDescent="0.4">
      <c r="B204" s="43" t="s">
        <v>154</v>
      </c>
      <c r="C204" s="43" t="s">
        <v>228</v>
      </c>
      <c r="D204" s="24">
        <v>1285.79</v>
      </c>
      <c r="E204" s="28">
        <v>105.17843658783958</v>
      </c>
      <c r="F204" s="28">
        <v>101.35198852083469</v>
      </c>
      <c r="G204" s="24">
        <v>53.32</v>
      </c>
      <c r="H204" s="24">
        <v>44.98</v>
      </c>
    </row>
    <row r="205" spans="2:12" ht="15" thickBot="1" x14ac:dyDescent="0.4">
      <c r="B205" s="43" t="s">
        <v>156</v>
      </c>
      <c r="C205" s="43" t="s">
        <v>228</v>
      </c>
      <c r="D205" s="24">
        <v>1389.3579999999999</v>
      </c>
      <c r="E205" s="28">
        <v>112.98205820616872</v>
      </c>
      <c r="F205" s="28">
        <v>102.25835759049102</v>
      </c>
      <c r="G205" s="24">
        <v>55.38</v>
      </c>
      <c r="H205" s="24">
        <v>51.27</v>
      </c>
    </row>
    <row r="206" spans="2:12" x14ac:dyDescent="0.35">
      <c r="B206" s="29"/>
      <c r="C206" s="29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2:12" ht="18.5" x14ac:dyDescent="0.45">
      <c r="B207" s="14" t="s">
        <v>251</v>
      </c>
      <c r="C207" s="14"/>
    </row>
    <row r="208" spans="2:12" ht="15" thickBot="1" x14ac:dyDescent="0.4">
      <c r="B208"/>
      <c r="C208"/>
    </row>
    <row r="209" spans="2:13" ht="15" thickBot="1" x14ac:dyDescent="0.4">
      <c r="B209" s="100" t="s">
        <v>6</v>
      </c>
      <c r="C209" s="127" t="s">
        <v>0</v>
      </c>
      <c r="D209" s="127" t="s">
        <v>225</v>
      </c>
      <c r="E209" s="127"/>
      <c r="F209" s="55"/>
    </row>
    <row r="210" spans="2:13" ht="39.75" customHeight="1" thickBot="1" x14ac:dyDescent="0.4">
      <c r="B210" s="124"/>
      <c r="C210" s="127"/>
      <c r="D210" s="127"/>
      <c r="E210" s="127"/>
      <c r="F210" s="55"/>
    </row>
    <row r="211" spans="2:13" ht="27.75" customHeight="1" thickBot="1" x14ac:dyDescent="0.4">
      <c r="B211" s="124"/>
      <c r="C211" s="125" t="s">
        <v>245</v>
      </c>
      <c r="D211" s="125" t="s">
        <v>244</v>
      </c>
      <c r="E211" s="126" t="s">
        <v>226</v>
      </c>
      <c r="F211" s="56"/>
    </row>
    <row r="212" spans="2:13" ht="65.25" customHeight="1" thickBot="1" x14ac:dyDescent="0.4">
      <c r="B212" s="124"/>
      <c r="C212" s="125"/>
      <c r="D212" s="125"/>
      <c r="E212" s="126"/>
      <c r="F212" s="56"/>
    </row>
    <row r="213" spans="2:13" ht="15" thickBot="1" x14ac:dyDescent="0.4">
      <c r="B213" s="34" t="s">
        <v>164</v>
      </c>
      <c r="C213" s="24">
        <v>100</v>
      </c>
      <c r="D213" s="24">
        <v>100</v>
      </c>
      <c r="E213" s="25">
        <v>18</v>
      </c>
      <c r="F213" s="53"/>
    </row>
    <row r="214" spans="2:13" ht="15" thickBot="1" x14ac:dyDescent="0.4">
      <c r="B214" s="85" t="s">
        <v>174</v>
      </c>
      <c r="C214" s="24">
        <v>103</v>
      </c>
      <c r="D214" s="24">
        <v>107</v>
      </c>
      <c r="E214" s="25">
        <v>17.79</v>
      </c>
    </row>
    <row r="215" spans="2:13" ht="15" thickBot="1" x14ac:dyDescent="0.4">
      <c r="B215" s="85" t="s">
        <v>175</v>
      </c>
      <c r="C215" s="24">
        <v>97.5</v>
      </c>
      <c r="D215" s="24">
        <v>103</v>
      </c>
      <c r="E215" s="25">
        <v>18.52</v>
      </c>
    </row>
    <row r="216" spans="2:13" x14ac:dyDescent="0.35">
      <c r="M216" s="13"/>
    </row>
    <row r="217" spans="2:13" ht="18.5" x14ac:dyDescent="0.45">
      <c r="B217" s="14" t="s">
        <v>222</v>
      </c>
      <c r="C217" s="14"/>
    </row>
    <row r="218" spans="2:13" s="13" customFormat="1" ht="15" thickBot="1" x14ac:dyDescent="0.4">
      <c r="B218" s="5"/>
      <c r="C218" s="5"/>
      <c r="D218" s="5"/>
      <c r="E218"/>
      <c r="F218"/>
      <c r="G218"/>
      <c r="H218"/>
      <c r="I218"/>
      <c r="J218"/>
      <c r="K218"/>
      <c r="L218"/>
      <c r="M218"/>
    </row>
    <row r="219" spans="2:13" ht="15" customHeight="1" x14ac:dyDescent="0.35">
      <c r="B219" s="95" t="s">
        <v>6</v>
      </c>
      <c r="C219" s="95" t="s">
        <v>227</v>
      </c>
      <c r="D219" s="100" t="s">
        <v>0</v>
      </c>
      <c r="E219" s="101"/>
      <c r="F219" s="101"/>
      <c r="G219" s="101"/>
      <c r="H219" s="101"/>
      <c r="I219" s="102"/>
    </row>
    <row r="220" spans="2:13" ht="15" thickBot="1" x14ac:dyDescent="0.4">
      <c r="B220" s="115"/>
      <c r="C220" s="115"/>
      <c r="D220" s="103"/>
      <c r="E220" s="104"/>
      <c r="F220" s="104"/>
      <c r="G220" s="104"/>
      <c r="H220" s="104"/>
      <c r="I220" s="105"/>
    </row>
    <row r="221" spans="2:13" ht="37.5" customHeight="1" x14ac:dyDescent="0.35">
      <c r="B221" s="115"/>
      <c r="C221" s="115"/>
      <c r="D221" s="98" t="s">
        <v>240</v>
      </c>
      <c r="E221" s="98" t="s">
        <v>241</v>
      </c>
      <c r="F221" s="123" t="s">
        <v>1</v>
      </c>
      <c r="G221" s="123" t="s">
        <v>13</v>
      </c>
      <c r="H221" s="123" t="s">
        <v>14</v>
      </c>
      <c r="I221" s="110" t="s">
        <v>12</v>
      </c>
    </row>
    <row r="222" spans="2:13" ht="51.75" customHeight="1" thickBot="1" x14ac:dyDescent="0.4">
      <c r="B222" s="115"/>
      <c r="C222" s="96"/>
      <c r="D222" s="97"/>
      <c r="E222" s="97"/>
      <c r="F222" s="89"/>
      <c r="G222" s="89"/>
      <c r="H222" s="89"/>
      <c r="I222" s="134"/>
    </row>
    <row r="223" spans="2:13" ht="15" thickBot="1" x14ac:dyDescent="0.4">
      <c r="B223" s="19" t="s">
        <v>3</v>
      </c>
      <c r="C223" s="129"/>
      <c r="D223" s="130"/>
      <c r="E223" s="130"/>
      <c r="F223" s="130"/>
      <c r="G223" s="130"/>
      <c r="H223" s="130"/>
      <c r="I223" s="131"/>
    </row>
    <row r="224" spans="2:13" ht="15" thickBot="1" x14ac:dyDescent="0.4">
      <c r="B224" s="50" t="s">
        <v>157</v>
      </c>
      <c r="C224" s="50" t="s">
        <v>231</v>
      </c>
      <c r="D224" s="24">
        <v>107</v>
      </c>
      <c r="E224" s="24">
        <v>96.347826086956516</v>
      </c>
      <c r="F224" s="25">
        <v>17.079999999999998</v>
      </c>
      <c r="G224" s="25">
        <v>18.579999999999998</v>
      </c>
      <c r="H224" s="25">
        <v>18.809999999999999</v>
      </c>
      <c r="I224" s="24">
        <v>52.4</v>
      </c>
    </row>
    <row r="225" spans="2:13" ht="15" thickBot="1" x14ac:dyDescent="0.4">
      <c r="B225" s="50" t="s">
        <v>158</v>
      </c>
      <c r="C225" s="50" t="s">
        <v>228</v>
      </c>
      <c r="D225" s="24">
        <v>102</v>
      </c>
      <c r="E225" s="24">
        <v>97.5</v>
      </c>
      <c r="F225" s="25">
        <v>17.57</v>
      </c>
      <c r="G225" s="25">
        <v>19.14</v>
      </c>
      <c r="H225" s="25">
        <v>19.2</v>
      </c>
      <c r="I225" s="24">
        <v>61.7</v>
      </c>
    </row>
    <row r="226" spans="2:13" ht="15.75" customHeight="1" thickBot="1" x14ac:dyDescent="0.4">
      <c r="B226" s="50" t="s">
        <v>159</v>
      </c>
      <c r="C226" s="50" t="s">
        <v>228</v>
      </c>
      <c r="D226" s="24">
        <v>98</v>
      </c>
      <c r="E226" s="24">
        <v>100.67391304347827</v>
      </c>
      <c r="F226" s="25">
        <v>17.010000000000002</v>
      </c>
      <c r="G226" s="25">
        <v>18.010000000000002</v>
      </c>
      <c r="H226" s="25">
        <v>18.48</v>
      </c>
      <c r="I226" s="24">
        <v>58.7</v>
      </c>
    </row>
    <row r="227" spans="2:13" ht="15" thickBot="1" x14ac:dyDescent="0.4">
      <c r="B227" s="50" t="s">
        <v>160</v>
      </c>
      <c r="C227" s="50" t="s">
        <v>228</v>
      </c>
      <c r="D227" s="24">
        <v>100</v>
      </c>
      <c r="E227" s="24">
        <v>97.608695652173907</v>
      </c>
      <c r="F227" s="25">
        <v>18.260000000000002</v>
      </c>
      <c r="G227" s="25">
        <v>19.329999999999998</v>
      </c>
      <c r="H227" s="25">
        <v>19.95</v>
      </c>
      <c r="I227" s="24">
        <v>66.099999999999994</v>
      </c>
    </row>
    <row r="228" spans="2:13" ht="15" thickBot="1" x14ac:dyDescent="0.4">
      <c r="B228" s="50" t="s">
        <v>163</v>
      </c>
      <c r="C228" s="50" t="s">
        <v>228</v>
      </c>
      <c r="D228" s="24">
        <v>105</v>
      </c>
      <c r="E228" s="24">
        <v>99.785714285714292</v>
      </c>
      <c r="F228" s="25">
        <v>17.760000000000002</v>
      </c>
      <c r="G228" s="25">
        <v>18.84</v>
      </c>
      <c r="H228" s="25">
        <v>19.39</v>
      </c>
      <c r="I228" s="24">
        <v>60.5</v>
      </c>
    </row>
    <row r="229" spans="2:13" ht="18.75" customHeight="1" thickBot="1" x14ac:dyDescent="0.4">
      <c r="B229" s="50" t="s">
        <v>161</v>
      </c>
      <c r="C229" s="50" t="s">
        <v>228</v>
      </c>
      <c r="D229" s="24">
        <v>94</v>
      </c>
      <c r="E229" s="24">
        <v>100.08108108108108</v>
      </c>
      <c r="F229" s="25">
        <v>17.059999999999999</v>
      </c>
      <c r="G229" s="25">
        <v>17.93</v>
      </c>
      <c r="H229" s="25">
        <v>18.47</v>
      </c>
      <c r="I229" s="24">
        <v>59.8</v>
      </c>
    </row>
    <row r="230" spans="2:13" ht="15" thickBot="1" x14ac:dyDescent="0.4">
      <c r="B230" s="50" t="s">
        <v>162</v>
      </c>
      <c r="C230" s="50" t="s">
        <v>230</v>
      </c>
      <c r="D230" s="24">
        <v>104</v>
      </c>
      <c r="E230" s="24">
        <v>104.28571428571429</v>
      </c>
      <c r="F230" s="25">
        <v>16.559999999999999</v>
      </c>
      <c r="G230" s="26">
        <v>17.64</v>
      </c>
      <c r="H230" s="26">
        <v>18.71</v>
      </c>
      <c r="I230" s="24">
        <v>62.9</v>
      </c>
    </row>
    <row r="231" spans="2:13" ht="15" thickBot="1" x14ac:dyDescent="0.4">
      <c r="B231" s="51" t="s">
        <v>4</v>
      </c>
      <c r="C231" s="129"/>
      <c r="D231" s="130"/>
      <c r="E231" s="130"/>
      <c r="F231" s="130"/>
      <c r="G231" s="130"/>
      <c r="H231" s="130"/>
      <c r="I231" s="131"/>
    </row>
    <row r="232" spans="2:13" ht="15" thickBot="1" x14ac:dyDescent="0.4">
      <c r="B232" s="50" t="s">
        <v>255</v>
      </c>
      <c r="C232" s="50" t="s">
        <v>228</v>
      </c>
      <c r="D232" s="24">
        <v>101</v>
      </c>
      <c r="E232" s="24">
        <v>98.434782608695656</v>
      </c>
      <c r="F232" s="25">
        <v>18.13</v>
      </c>
      <c r="G232" s="25">
        <v>19.329999999999998</v>
      </c>
      <c r="H232" s="25">
        <v>19.690000000000001</v>
      </c>
      <c r="I232" s="24">
        <v>60.4</v>
      </c>
    </row>
    <row r="233" spans="2:13" s="9" customFormat="1" ht="15" thickBot="1" x14ac:dyDescent="0.4">
      <c r="B233" s="50" t="s">
        <v>256</v>
      </c>
      <c r="C233" s="50" t="s">
        <v>228</v>
      </c>
      <c r="D233" s="24">
        <v>105</v>
      </c>
      <c r="E233" s="24">
        <v>101.10869565217391</v>
      </c>
      <c r="F233" s="25">
        <v>17.79</v>
      </c>
      <c r="G233" s="25">
        <v>19.72</v>
      </c>
      <c r="H233" s="25">
        <v>19.73</v>
      </c>
      <c r="I233" s="24">
        <v>60.8</v>
      </c>
      <c r="J233"/>
      <c r="K233"/>
    </row>
    <row r="234" spans="2:13" ht="15" thickBot="1" x14ac:dyDescent="0.4">
      <c r="B234" s="50" t="s">
        <v>257</v>
      </c>
      <c r="C234" s="50" t="s">
        <v>228</v>
      </c>
      <c r="D234" s="24">
        <v>102</v>
      </c>
      <c r="E234" s="24">
        <v>101.60869565217391</v>
      </c>
      <c r="F234" s="25">
        <v>18.03</v>
      </c>
      <c r="G234" s="25">
        <v>19.54</v>
      </c>
      <c r="H234" s="25">
        <v>19.850000000000001</v>
      </c>
      <c r="I234" s="24">
        <v>61.5</v>
      </c>
    </row>
    <row r="235" spans="2:13" x14ac:dyDescent="0.35">
      <c r="B235" s="29"/>
      <c r="C235" s="29"/>
      <c r="D235" s="13"/>
      <c r="E235" s="13"/>
      <c r="F235" s="13"/>
      <c r="G235" s="13"/>
      <c r="H235" s="13"/>
      <c r="I235" s="13"/>
    </row>
    <row r="236" spans="2:13" x14ac:dyDescent="0.35">
      <c r="B236"/>
      <c r="C236"/>
      <c r="L236" s="13"/>
    </row>
    <row r="237" spans="2:13" ht="18.5" x14ac:dyDescent="0.45">
      <c r="B237" s="14" t="s">
        <v>223</v>
      </c>
      <c r="C237" s="14"/>
      <c r="M237" s="13"/>
    </row>
    <row r="238" spans="2:13" ht="15" thickBot="1" x14ac:dyDescent="0.4"/>
    <row r="239" spans="2:13" s="13" customFormat="1" ht="15" customHeight="1" thickBot="1" x14ac:dyDescent="0.4">
      <c r="B239" s="95" t="s">
        <v>6</v>
      </c>
      <c r="C239" s="127" t="s">
        <v>0</v>
      </c>
      <c r="D239" s="127"/>
      <c r="E239" s="100" t="s">
        <v>224</v>
      </c>
      <c r="F239" s="102"/>
      <c r="G239" s="95" t="s">
        <v>254</v>
      </c>
      <c r="H239" s="88" t="s">
        <v>21</v>
      </c>
      <c r="J239"/>
      <c r="K239"/>
      <c r="L239"/>
    </row>
    <row r="240" spans="2:13" ht="15" thickBot="1" x14ac:dyDescent="0.4">
      <c r="B240" s="115"/>
      <c r="C240" s="127"/>
      <c r="D240" s="127"/>
      <c r="E240" s="103"/>
      <c r="F240" s="105"/>
      <c r="G240" s="115"/>
      <c r="H240" s="132"/>
    </row>
    <row r="241" spans="2:8" ht="15" thickBot="1" x14ac:dyDescent="0.4">
      <c r="B241" s="115"/>
      <c r="C241" s="128" t="s">
        <v>242</v>
      </c>
      <c r="D241" s="128" t="s">
        <v>168</v>
      </c>
      <c r="E241" s="128" t="s">
        <v>243</v>
      </c>
      <c r="F241" s="128" t="s">
        <v>11</v>
      </c>
      <c r="G241" s="96"/>
      <c r="H241" s="133"/>
    </row>
    <row r="242" spans="2:8" ht="68.25" customHeight="1" thickBot="1" x14ac:dyDescent="0.4">
      <c r="B242" s="115"/>
      <c r="C242" s="128"/>
      <c r="D242" s="128"/>
      <c r="E242" s="128"/>
      <c r="F242" s="128"/>
      <c r="G242" s="127" t="s">
        <v>214</v>
      </c>
      <c r="H242" s="127"/>
    </row>
    <row r="243" spans="2:8" ht="15" thickBot="1" x14ac:dyDescent="0.4">
      <c r="B243" s="34" t="s">
        <v>165</v>
      </c>
      <c r="C243" s="39">
        <v>95</v>
      </c>
      <c r="D243" s="40">
        <f>65+-1.22</f>
        <v>63.78</v>
      </c>
      <c r="E243" s="39">
        <v>97</v>
      </c>
      <c r="F243" s="40">
        <f>65+1.5</f>
        <v>66.5</v>
      </c>
      <c r="G243" s="39">
        <v>69.260000000000005</v>
      </c>
      <c r="H243" s="40">
        <v>6.1</v>
      </c>
    </row>
    <row r="244" spans="2:8" ht="15" thickBot="1" x14ac:dyDescent="0.4">
      <c r="B244" s="34" t="s">
        <v>166</v>
      </c>
      <c r="C244" s="39">
        <v>100</v>
      </c>
      <c r="D244" s="40">
        <f>65+-1.92</f>
        <v>63.08</v>
      </c>
      <c r="E244" s="39">
        <v>101</v>
      </c>
      <c r="F244" s="40">
        <f>65+2</f>
        <v>67</v>
      </c>
      <c r="G244" s="39">
        <v>72.22</v>
      </c>
      <c r="H244" s="40">
        <v>5.4</v>
      </c>
    </row>
    <row r="245" spans="2:8" ht="15" thickBot="1" x14ac:dyDescent="0.4">
      <c r="B245" s="34" t="s">
        <v>167</v>
      </c>
      <c r="C245" s="39">
        <v>106</v>
      </c>
      <c r="D245" s="40">
        <f>65+-1.24</f>
        <v>63.76</v>
      </c>
      <c r="E245" s="39">
        <v>102</v>
      </c>
      <c r="F245" s="40">
        <f>65+2.9</f>
        <v>67.900000000000006</v>
      </c>
      <c r="G245" s="39">
        <v>69.5</v>
      </c>
      <c r="H245" s="41" t="s">
        <v>169</v>
      </c>
    </row>
    <row r="250" spans="2:8" ht="18.5" x14ac:dyDescent="0.45">
      <c r="B250" s="14" t="s">
        <v>24</v>
      </c>
      <c r="C250" s="14"/>
    </row>
    <row r="251" spans="2:8" ht="15" thickBot="1" x14ac:dyDescent="0.4"/>
    <row r="252" spans="2:8" ht="15.75" customHeight="1" thickBot="1" x14ac:dyDescent="0.4">
      <c r="B252" s="44" t="s">
        <v>25</v>
      </c>
      <c r="C252" s="167" t="s">
        <v>26</v>
      </c>
      <c r="D252" s="44" t="s">
        <v>27</v>
      </c>
      <c r="E252" s="168"/>
    </row>
    <row r="253" spans="2:8" ht="15" thickBot="1" x14ac:dyDescent="0.4">
      <c r="B253" s="44" t="s">
        <v>185</v>
      </c>
      <c r="C253" s="167" t="s">
        <v>186</v>
      </c>
      <c r="D253" s="44"/>
      <c r="E253" s="168"/>
    </row>
    <row r="254" spans="2:8" ht="15" thickBot="1" x14ac:dyDescent="0.4">
      <c r="B254" s="44" t="s">
        <v>199</v>
      </c>
      <c r="C254" s="167" t="s">
        <v>186</v>
      </c>
      <c r="D254" s="44"/>
      <c r="E254" s="168"/>
    </row>
    <row r="255" spans="2:8" ht="52.5" thickBot="1" x14ac:dyDescent="0.4">
      <c r="B255" s="44" t="s">
        <v>252</v>
      </c>
      <c r="C255" s="167" t="s">
        <v>202</v>
      </c>
      <c r="D255" s="44"/>
      <c r="E255" s="168"/>
    </row>
    <row r="256" spans="2:8" ht="26.5" thickBot="1" x14ac:dyDescent="0.4">
      <c r="B256" s="44" t="s">
        <v>183</v>
      </c>
      <c r="C256" s="167" t="s">
        <v>170</v>
      </c>
      <c r="D256" s="44"/>
      <c r="E256" s="168"/>
    </row>
    <row r="257" spans="2:5" ht="26.5" thickBot="1" x14ac:dyDescent="0.4">
      <c r="B257" s="44" t="s">
        <v>184</v>
      </c>
      <c r="C257" s="167" t="s">
        <v>170</v>
      </c>
      <c r="D257" s="44"/>
      <c r="E257" s="168"/>
    </row>
    <row r="258" spans="2:5" ht="26.5" thickBot="1" x14ac:dyDescent="0.4">
      <c r="B258" s="44" t="s">
        <v>181</v>
      </c>
      <c r="C258" s="167" t="s">
        <v>171</v>
      </c>
      <c r="D258" s="44"/>
      <c r="E258" s="168"/>
    </row>
    <row r="259" spans="2:5" ht="26.5" thickBot="1" x14ac:dyDescent="0.4">
      <c r="B259" s="87" t="s">
        <v>178</v>
      </c>
      <c r="C259" s="167" t="s">
        <v>173</v>
      </c>
      <c r="D259" s="87"/>
      <c r="E259" s="168"/>
    </row>
    <row r="260" spans="2:5" ht="26.5" thickBot="1" x14ac:dyDescent="0.4">
      <c r="B260" s="44" t="s">
        <v>179</v>
      </c>
      <c r="C260" s="167" t="s">
        <v>173</v>
      </c>
      <c r="D260" s="44"/>
      <c r="E260" s="168"/>
    </row>
    <row r="261" spans="2:5" ht="26.5" thickBot="1" x14ac:dyDescent="0.4">
      <c r="B261" s="44" t="s">
        <v>177</v>
      </c>
      <c r="C261" s="167" t="s">
        <v>173</v>
      </c>
      <c r="D261" s="44"/>
      <c r="E261" s="168"/>
    </row>
    <row r="262" spans="2:5" ht="15" thickBot="1" x14ac:dyDescent="0.4">
      <c r="B262" s="44" t="s">
        <v>174</v>
      </c>
      <c r="C262" s="167" t="s">
        <v>176</v>
      </c>
      <c r="D262" s="44"/>
      <c r="E262" s="168"/>
    </row>
    <row r="263" spans="2:5" ht="15" thickBot="1" x14ac:dyDescent="0.4">
      <c r="B263" s="44" t="s">
        <v>175</v>
      </c>
      <c r="C263" s="167" t="s">
        <v>176</v>
      </c>
      <c r="D263" s="44"/>
      <c r="E263" s="168"/>
    </row>
  </sheetData>
  <mergeCells count="129">
    <mergeCell ref="C63:N63"/>
    <mergeCell ref="C96:N96"/>
    <mergeCell ref="B59:B62"/>
    <mergeCell ref="D59:D62"/>
    <mergeCell ref="E59:H60"/>
    <mergeCell ref="I59:L60"/>
    <mergeCell ref="M59:M61"/>
    <mergeCell ref="N59:N61"/>
    <mergeCell ref="E61:E62"/>
    <mergeCell ref="F61:F62"/>
    <mergeCell ref="K61:K62"/>
    <mergeCell ref="L61:L62"/>
    <mergeCell ref="M62:N62"/>
    <mergeCell ref="K21:K22"/>
    <mergeCell ref="L21:L22"/>
    <mergeCell ref="M22:N22"/>
    <mergeCell ref="B3:B6"/>
    <mergeCell ref="D3:D6"/>
    <mergeCell ref="E3:H4"/>
    <mergeCell ref="I3:L4"/>
    <mergeCell ref="M3:M5"/>
    <mergeCell ref="N3:N5"/>
    <mergeCell ref="E5:E6"/>
    <mergeCell ref="F5:F6"/>
    <mergeCell ref="K5:K6"/>
    <mergeCell ref="L5:L6"/>
    <mergeCell ref="M6:N6"/>
    <mergeCell ref="C3:C6"/>
    <mergeCell ref="G5:G6"/>
    <mergeCell ref="J5:J6"/>
    <mergeCell ref="D19:D22"/>
    <mergeCell ref="E21:E22"/>
    <mergeCell ref="F21:F22"/>
    <mergeCell ref="C7:N7"/>
    <mergeCell ref="C11:N11"/>
    <mergeCell ref="C19:C22"/>
    <mergeCell ref="B19:B22"/>
    <mergeCell ref="F113:F114"/>
    <mergeCell ref="H113:H114"/>
    <mergeCell ref="C115:L115"/>
    <mergeCell ref="C129:L129"/>
    <mergeCell ref="C113:C114"/>
    <mergeCell ref="C143:C144"/>
    <mergeCell ref="C145:K145"/>
    <mergeCell ref="C150:K150"/>
    <mergeCell ref="C171:C174"/>
    <mergeCell ref="K171:K173"/>
    <mergeCell ref="B209:B212"/>
    <mergeCell ref="C211:C212"/>
    <mergeCell ref="D211:D212"/>
    <mergeCell ref="E211:E212"/>
    <mergeCell ref="F186:F187"/>
    <mergeCell ref="C209:C210"/>
    <mergeCell ref="D209:E210"/>
    <mergeCell ref="F221:F222"/>
    <mergeCell ref="F188:F189"/>
    <mergeCell ref="E188:E189"/>
    <mergeCell ref="B239:B242"/>
    <mergeCell ref="D221:D222"/>
    <mergeCell ref="C239:D240"/>
    <mergeCell ref="E241:E242"/>
    <mergeCell ref="C241:C242"/>
    <mergeCell ref="D241:D242"/>
    <mergeCell ref="C219:C222"/>
    <mergeCell ref="C223:I223"/>
    <mergeCell ref="C231:I231"/>
    <mergeCell ref="H239:H241"/>
    <mergeCell ref="E239:F240"/>
    <mergeCell ref="G239:G241"/>
    <mergeCell ref="F241:F242"/>
    <mergeCell ref="G242:H242"/>
    <mergeCell ref="A153:A155"/>
    <mergeCell ref="B171:B174"/>
    <mergeCell ref="D171:D174"/>
    <mergeCell ref="G173:G174"/>
    <mergeCell ref="B219:B222"/>
    <mergeCell ref="E221:E222"/>
    <mergeCell ref="B186:B189"/>
    <mergeCell ref="D186:D189"/>
    <mergeCell ref="E186:E187"/>
    <mergeCell ref="G188:G189"/>
    <mergeCell ref="D219:I220"/>
    <mergeCell ref="H188:H189"/>
    <mergeCell ref="G186:H187"/>
    <mergeCell ref="G221:G222"/>
    <mergeCell ref="H221:H222"/>
    <mergeCell ref="I221:I222"/>
    <mergeCell ref="C186:C189"/>
    <mergeCell ref="J61:J62"/>
    <mergeCell ref="H5:H6"/>
    <mergeCell ref="I5:I6"/>
    <mergeCell ref="I21:I22"/>
    <mergeCell ref="H61:H62"/>
    <mergeCell ref="G61:G62"/>
    <mergeCell ref="G21:G22"/>
    <mergeCell ref="J21:J22"/>
    <mergeCell ref="I61:I62"/>
    <mergeCell ref="H21:H22"/>
    <mergeCell ref="C23:N23"/>
    <mergeCell ref="C37:N37"/>
    <mergeCell ref="C59:C62"/>
    <mergeCell ref="E19:H20"/>
    <mergeCell ref="I19:L20"/>
    <mergeCell ref="M19:M21"/>
    <mergeCell ref="N19:N21"/>
    <mergeCell ref="L171:L173"/>
    <mergeCell ref="I173:I174"/>
    <mergeCell ref="K174:L174"/>
    <mergeCell ref="G143:G144"/>
    <mergeCell ref="B113:B114"/>
    <mergeCell ref="D113:D114"/>
    <mergeCell ref="B143:B144"/>
    <mergeCell ref="J144:K144"/>
    <mergeCell ref="K114:L114"/>
    <mergeCell ref="J113:J114"/>
    <mergeCell ref="G113:G114"/>
    <mergeCell ref="H173:H174"/>
    <mergeCell ref="E173:E174"/>
    <mergeCell ref="F173:F174"/>
    <mergeCell ref="E171:G172"/>
    <mergeCell ref="H171:J172"/>
    <mergeCell ref="J173:J174"/>
    <mergeCell ref="E113:E114"/>
    <mergeCell ref="D143:D144"/>
    <mergeCell ref="E143:E144"/>
    <mergeCell ref="I113:I114"/>
    <mergeCell ref="H143:H144"/>
    <mergeCell ref="I143:I144"/>
    <mergeCell ref="F143:F144"/>
  </mergeCells>
  <phoneticPr fontId="5" type="noConversion"/>
  <pageMargins left="0.75" right="0.75" top="1" bottom="1" header="0.5" footer="0.5"/>
  <pageSetup paperSize="9" scale="80" orientation="landscape" r:id="rId1"/>
  <headerFooter alignWithMargins="0"/>
  <rowBreaks count="4" manualBreakCount="4">
    <brk id="115" max="16383" man="1"/>
    <brk id="145" max="16383" man="1"/>
    <brk id="188" max="16383" man="1"/>
    <brk id="22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7625E-DF09-4B4C-BF28-2D1BD8E53A18}">
  <dimension ref="A1:O110"/>
  <sheetViews>
    <sheetView topLeftCell="A92" workbookViewId="0">
      <selection activeCell="A110" sqref="A1:XFD110"/>
    </sheetView>
  </sheetViews>
  <sheetFormatPr defaultRowHeight="14.5" x14ac:dyDescent="0.35"/>
  <cols>
    <col min="2" max="2" width="14.36328125" customWidth="1"/>
    <col min="8" max="8" width="11.36328125" customWidth="1"/>
    <col min="9" max="9" width="10.54296875" customWidth="1"/>
    <col min="11" max="11" width="10.26953125" customWidth="1"/>
    <col min="12" max="12" width="9.7265625" customWidth="1"/>
    <col min="13" max="13" width="10.6328125" customWidth="1"/>
  </cols>
  <sheetData>
    <row r="1" spans="2:14" ht="18.5" x14ac:dyDescent="0.45">
      <c r="B1" s="14" t="s">
        <v>15</v>
      </c>
    </row>
    <row r="2" spans="2:14" ht="15" thickBot="1" x14ac:dyDescent="0.4">
      <c r="B2" s="5"/>
    </row>
    <row r="3" spans="2:14" ht="14.65" customHeight="1" thickBot="1" x14ac:dyDescent="0.4">
      <c r="B3" s="127" t="s">
        <v>6</v>
      </c>
      <c r="C3" s="121" t="s">
        <v>7</v>
      </c>
      <c r="D3" s="100" t="s">
        <v>8</v>
      </c>
      <c r="E3" s="101"/>
      <c r="F3" s="101"/>
      <c r="G3" s="102"/>
      <c r="H3" s="100" t="s">
        <v>0</v>
      </c>
      <c r="I3" s="101"/>
      <c r="J3" s="101"/>
      <c r="K3" s="102"/>
      <c r="L3" s="121" t="s">
        <v>19</v>
      </c>
      <c r="M3" s="149" t="s">
        <v>198</v>
      </c>
    </row>
    <row r="4" spans="2:14" ht="15" thickBot="1" x14ac:dyDescent="0.4">
      <c r="B4" s="127"/>
      <c r="C4" s="142"/>
      <c r="D4" s="103"/>
      <c r="E4" s="104"/>
      <c r="F4" s="104"/>
      <c r="G4" s="105"/>
      <c r="H4" s="124"/>
      <c r="I4" s="140"/>
      <c r="J4" s="140"/>
      <c r="K4" s="141"/>
      <c r="L4" s="142"/>
      <c r="M4" s="150"/>
    </row>
    <row r="5" spans="2:14" ht="48.4" customHeight="1" thickBot="1" x14ac:dyDescent="0.4">
      <c r="B5" s="127"/>
      <c r="C5" s="142"/>
      <c r="D5" s="143" t="s">
        <v>191</v>
      </c>
      <c r="E5" s="121" t="s">
        <v>9</v>
      </c>
      <c r="F5" s="146" t="s">
        <v>189</v>
      </c>
      <c r="G5" s="146" t="s">
        <v>204</v>
      </c>
      <c r="H5" s="143" t="s">
        <v>197</v>
      </c>
      <c r="I5" s="152" t="s">
        <v>10</v>
      </c>
      <c r="J5" s="121" t="s">
        <v>190</v>
      </c>
      <c r="K5" s="121" t="s">
        <v>212</v>
      </c>
      <c r="L5" s="122"/>
      <c r="M5" s="151"/>
      <c r="N5" s="13" t="s">
        <v>213</v>
      </c>
    </row>
    <row r="6" spans="2:14" ht="48.4" customHeight="1" thickBot="1" x14ac:dyDescent="0.4">
      <c r="B6" s="127"/>
      <c r="C6" s="142"/>
      <c r="D6" s="144"/>
      <c r="E6" s="122"/>
      <c r="F6" s="157"/>
      <c r="G6" s="147"/>
      <c r="H6" s="144"/>
      <c r="I6" s="152"/>
      <c r="J6" s="122"/>
      <c r="K6" s="122"/>
      <c r="L6" s="138" t="s">
        <v>17</v>
      </c>
      <c r="M6" s="139"/>
    </row>
    <row r="7" spans="2:14" ht="15" thickBot="1" x14ac:dyDescent="0.4">
      <c r="B7" s="12" t="s">
        <v>3</v>
      </c>
      <c r="C7" s="154"/>
      <c r="D7" s="155"/>
      <c r="E7" s="155"/>
      <c r="F7" s="155"/>
      <c r="G7" s="155"/>
      <c r="H7" s="155"/>
      <c r="I7" s="155"/>
      <c r="J7" s="155"/>
      <c r="K7" s="155"/>
      <c r="L7" s="155"/>
      <c r="M7" s="156"/>
    </row>
    <row r="8" spans="2:14" ht="15" thickBot="1" x14ac:dyDescent="0.4">
      <c r="B8" s="36" t="s">
        <v>28</v>
      </c>
      <c r="C8" s="20">
        <v>132.67099999999999</v>
      </c>
      <c r="D8" s="22">
        <v>95.783267006018775</v>
      </c>
      <c r="E8" s="21">
        <f>65+10.5174869049589</f>
        <v>75.517486904958901</v>
      </c>
      <c r="F8" s="22">
        <v>69.810577626154441</v>
      </c>
      <c r="G8" s="70">
        <v>94.567788676533439</v>
      </c>
      <c r="H8" s="22">
        <v>102.68769466597442</v>
      </c>
      <c r="I8" s="21">
        <f>65+4.50939299749709</f>
        <v>69.509392997497088</v>
      </c>
      <c r="J8" s="37">
        <v>67.3720823974204</v>
      </c>
      <c r="K8" s="24">
        <v>97.254893277542848</v>
      </c>
      <c r="L8" s="21">
        <v>6</v>
      </c>
      <c r="M8" s="23">
        <v>6</v>
      </c>
      <c r="N8" s="10"/>
    </row>
    <row r="9" spans="2:14" ht="15" thickBot="1" x14ac:dyDescent="0.4">
      <c r="B9" s="36" t="s">
        <v>29</v>
      </c>
      <c r="C9" s="20">
        <v>135.16500000000002</v>
      </c>
      <c r="D9" s="22">
        <v>96.83531933497315</v>
      </c>
      <c r="E9" s="21">
        <f>65+10.4440493080135</f>
        <v>75.444049308013504</v>
      </c>
      <c r="F9" s="22">
        <v>67.240747000733123</v>
      </c>
      <c r="G9" s="24">
        <v>95.538783616501973</v>
      </c>
      <c r="H9" s="22">
        <v>99.584264056048582</v>
      </c>
      <c r="I9" s="21">
        <f>65+3.97792528430895</f>
        <v>68.977925284308952</v>
      </c>
      <c r="J9" s="37">
        <v>64.033575673633905</v>
      </c>
      <c r="K9" s="24">
        <v>93.235047934546671</v>
      </c>
      <c r="L9" s="21">
        <v>5.8</v>
      </c>
      <c r="M9" s="23">
        <v>5.4</v>
      </c>
      <c r="N9" s="10"/>
    </row>
    <row r="10" spans="2:14" ht="15" thickBot="1" x14ac:dyDescent="0.4">
      <c r="B10" s="36" t="s">
        <v>30</v>
      </c>
      <c r="C10" s="20">
        <v>138.501</v>
      </c>
      <c r="D10" s="22">
        <v>97.34951893213011</v>
      </c>
      <c r="E10" s="21">
        <f>65+11.5810319592932</f>
        <v>76.581031959293199</v>
      </c>
      <c r="F10" s="22">
        <v>67.472068611338116</v>
      </c>
      <c r="G10" s="77">
        <v>97.23169932499674</v>
      </c>
      <c r="H10" s="22">
        <v>100.0128968958311</v>
      </c>
      <c r="I10" s="21">
        <f>65+8.31675682575197</f>
        <v>73.316756825751966</v>
      </c>
      <c r="J10" s="37">
        <v>67.25761204790922</v>
      </c>
      <c r="K10" s="24">
        <v>97.550786424818369</v>
      </c>
      <c r="L10" s="21">
        <v>5.6</v>
      </c>
      <c r="M10" s="23">
        <v>6.1</v>
      </c>
      <c r="N10" s="10"/>
    </row>
    <row r="11" spans="2:14" ht="15" thickBot="1" x14ac:dyDescent="0.4">
      <c r="B11" s="12" t="s">
        <v>4</v>
      </c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0"/>
    </row>
    <row r="12" spans="2:14" ht="15" thickBot="1" x14ac:dyDescent="0.4">
      <c r="B12" s="36" t="s">
        <v>31</v>
      </c>
      <c r="C12" s="20">
        <v>132.67099999999999</v>
      </c>
      <c r="D12" s="22">
        <v>93.955869680342104</v>
      </c>
      <c r="E12" s="21">
        <f>65+11.3859087706547</f>
        <v>76.385908770654694</v>
      </c>
      <c r="F12" s="22">
        <v>69.108423715834945</v>
      </c>
      <c r="G12" s="71">
        <v>93.579682901014934</v>
      </c>
      <c r="H12" s="22">
        <v>98.574151980324103</v>
      </c>
      <c r="I12" s="21">
        <f>65+5.53633905377251</f>
        <v>70.536339053772508</v>
      </c>
      <c r="J12" s="22">
        <v>68.638872397102617</v>
      </c>
      <c r="K12" s="24">
        <v>96.293735395992471</v>
      </c>
      <c r="L12" s="21">
        <v>4</v>
      </c>
      <c r="M12" s="21">
        <v>6.7</v>
      </c>
      <c r="N12" s="10"/>
    </row>
    <row r="13" spans="2:14" ht="15" thickBot="1" x14ac:dyDescent="0.4">
      <c r="B13" s="36" t="s">
        <v>32</v>
      </c>
      <c r="C13" s="20">
        <v>138.62799999999999</v>
      </c>
      <c r="D13" s="22">
        <v>94.823600725094423</v>
      </c>
      <c r="E13" s="21">
        <f>65+12.3682509496123</f>
        <v>77.368250949612303</v>
      </c>
      <c r="F13" s="22">
        <v>69.131663549789963</v>
      </c>
      <c r="G13" s="24">
        <v>95.530896127333023</v>
      </c>
      <c r="H13" s="22">
        <v>98.836953063502534</v>
      </c>
      <c r="I13" s="21">
        <f>65+6.98531255294957</f>
        <v>71.985312552949566</v>
      </c>
      <c r="J13" s="37">
        <v>68.145687914178694</v>
      </c>
      <c r="K13" s="24">
        <v>95.30579219445373</v>
      </c>
      <c r="L13" s="21">
        <v>5.8</v>
      </c>
      <c r="M13" s="23">
        <v>6.2</v>
      </c>
      <c r="N13" s="10"/>
    </row>
    <row r="14" spans="2:14" ht="15" thickBot="1" x14ac:dyDescent="0.4">
      <c r="B14" s="30" t="s">
        <v>33</v>
      </c>
      <c r="C14" s="20">
        <v>141.86199999999999</v>
      </c>
      <c r="D14" s="22">
        <v>95.829830875784495</v>
      </c>
      <c r="E14" s="21">
        <f>65+10.8982783010113</f>
        <v>75.898278301011302</v>
      </c>
      <c r="F14" s="22">
        <v>56.267977319417305</v>
      </c>
      <c r="G14" s="24">
        <v>95.060399317000545</v>
      </c>
      <c r="H14" s="22">
        <v>106.03245692867716</v>
      </c>
      <c r="I14" s="21">
        <f>65+4.64091593120339</f>
        <v>69.640915931203395</v>
      </c>
      <c r="J14" s="22">
        <v>53.988045771149238</v>
      </c>
      <c r="K14" s="24">
        <v>104.95159159183861</v>
      </c>
      <c r="L14" s="21">
        <v>7.4</v>
      </c>
      <c r="M14" s="23">
        <v>6.3</v>
      </c>
      <c r="N14" s="10"/>
    </row>
    <row r="15" spans="2:14" x14ac:dyDescent="0.35">
      <c r="B15" s="38"/>
    </row>
    <row r="16" spans="2:14" x14ac:dyDescent="0.35">
      <c r="B16" s="8"/>
      <c r="C16" s="2"/>
      <c r="D16" s="1"/>
      <c r="E16" s="3"/>
      <c r="F16" s="3"/>
      <c r="G16" s="3"/>
      <c r="H16" s="4"/>
      <c r="I16" s="3"/>
    </row>
    <row r="17" spans="2:14" ht="18.5" x14ac:dyDescent="0.45">
      <c r="B17" s="14" t="s">
        <v>16</v>
      </c>
    </row>
    <row r="18" spans="2:14" ht="15" thickBot="1" x14ac:dyDescent="0.4">
      <c r="B18" s="5"/>
    </row>
    <row r="19" spans="2:14" ht="14.25" customHeight="1" x14ac:dyDescent="0.35">
      <c r="B19" s="121" t="s">
        <v>6</v>
      </c>
      <c r="C19" s="121" t="s">
        <v>7</v>
      </c>
      <c r="D19" s="100" t="s">
        <v>8</v>
      </c>
      <c r="E19" s="101"/>
      <c r="F19" s="101"/>
      <c r="G19" s="102"/>
      <c r="H19" s="100" t="s">
        <v>0</v>
      </c>
      <c r="I19" s="101"/>
      <c r="J19" s="101"/>
      <c r="K19" s="102"/>
      <c r="L19" s="121" t="s">
        <v>19</v>
      </c>
      <c r="M19" s="149" t="s">
        <v>198</v>
      </c>
    </row>
    <row r="20" spans="2:14" ht="15" thickBot="1" x14ac:dyDescent="0.4">
      <c r="B20" s="142"/>
      <c r="C20" s="142"/>
      <c r="D20" s="103"/>
      <c r="E20" s="104"/>
      <c r="F20" s="104"/>
      <c r="G20" s="105"/>
      <c r="H20" s="124"/>
      <c r="I20" s="140"/>
      <c r="J20" s="140"/>
      <c r="K20" s="141"/>
      <c r="L20" s="142"/>
      <c r="M20" s="150"/>
    </row>
    <row r="21" spans="2:14" ht="51.4" customHeight="1" thickBot="1" x14ac:dyDescent="0.4">
      <c r="B21" s="142"/>
      <c r="C21" s="142"/>
      <c r="D21" s="143" t="s">
        <v>191</v>
      </c>
      <c r="E21" s="121" t="s">
        <v>9</v>
      </c>
      <c r="F21" s="146" t="s">
        <v>189</v>
      </c>
      <c r="G21" s="146" t="s">
        <v>204</v>
      </c>
      <c r="H21" s="143" t="s">
        <v>197</v>
      </c>
      <c r="I21" s="152" t="s">
        <v>10</v>
      </c>
      <c r="J21" s="121" t="s">
        <v>190</v>
      </c>
      <c r="K21" s="121" t="s">
        <v>212</v>
      </c>
      <c r="L21" s="122"/>
      <c r="M21" s="151"/>
      <c r="N21" s="13" t="s">
        <v>213</v>
      </c>
    </row>
    <row r="22" spans="2:14" ht="41.65" customHeight="1" thickBot="1" x14ac:dyDescent="0.4">
      <c r="B22" s="145"/>
      <c r="C22" s="142"/>
      <c r="D22" s="144"/>
      <c r="E22" s="122"/>
      <c r="F22" s="157"/>
      <c r="G22" s="147"/>
      <c r="H22" s="144"/>
      <c r="I22" s="152"/>
      <c r="J22" s="122"/>
      <c r="K22" s="122"/>
      <c r="L22" s="138" t="s">
        <v>17</v>
      </c>
      <c r="M22" s="139"/>
    </row>
    <row r="23" spans="2:14" ht="15" thickBot="1" x14ac:dyDescent="0.4">
      <c r="B23" s="7" t="s">
        <v>3</v>
      </c>
      <c r="C23" s="158"/>
      <c r="D23" s="159"/>
      <c r="E23" s="159"/>
      <c r="F23" s="159"/>
      <c r="G23" s="159"/>
      <c r="H23" s="159"/>
      <c r="I23" s="159"/>
      <c r="J23" s="159"/>
      <c r="K23" s="159"/>
      <c r="L23" s="159"/>
      <c r="M23" s="160"/>
    </row>
    <row r="24" spans="2:14" ht="15" thickBot="1" x14ac:dyDescent="0.4">
      <c r="B24" s="36" t="s">
        <v>34</v>
      </c>
      <c r="C24" s="20">
        <v>143.20400000000001</v>
      </c>
      <c r="D24" s="22">
        <v>105.64727008572156</v>
      </c>
      <c r="E24" s="21">
        <f>65+11.8343549160722</f>
        <v>76.834354916072201</v>
      </c>
      <c r="F24" s="22">
        <v>65.120081222780854</v>
      </c>
      <c r="G24" s="24">
        <v>105.7844171091717</v>
      </c>
      <c r="H24" s="22">
        <v>105.17698441836073</v>
      </c>
      <c r="I24" s="21">
        <f>65+9.72822547130201</f>
        <v>74.728225471302011</v>
      </c>
      <c r="J24" s="37">
        <v>63.542325124342483</v>
      </c>
      <c r="K24" s="24">
        <v>102.94056555760423</v>
      </c>
      <c r="L24" s="21">
        <v>5.0999999999999996</v>
      </c>
      <c r="M24" s="21">
        <v>4.7</v>
      </c>
    </row>
    <row r="25" spans="2:14" ht="15" thickBot="1" x14ac:dyDescent="0.4">
      <c r="B25" s="36" t="s">
        <v>35</v>
      </c>
      <c r="C25" s="20">
        <v>143.934</v>
      </c>
      <c r="D25" s="22">
        <v>100.87145952392589</v>
      </c>
      <c r="E25" s="21">
        <f>65+11.8098701249913</f>
        <v>76.809870124991306</v>
      </c>
      <c r="F25" s="22">
        <v>68.639465596974233</v>
      </c>
      <c r="G25" s="24">
        <v>100.86912044285849</v>
      </c>
      <c r="H25" s="22">
        <v>102.28312760577774</v>
      </c>
      <c r="I25" s="21">
        <f>65+6.80115061232355</f>
        <v>71.801150612323553</v>
      </c>
      <c r="J25" s="37">
        <v>68.815319837103175</v>
      </c>
      <c r="K25" s="24">
        <v>102.75071639159435</v>
      </c>
      <c r="L25" s="21">
        <v>5.6</v>
      </c>
      <c r="M25" s="21">
        <v>5.0999999999999996</v>
      </c>
    </row>
    <row r="26" spans="2:14" ht="15" thickBot="1" x14ac:dyDescent="0.4">
      <c r="B26" s="36" t="s">
        <v>36</v>
      </c>
      <c r="C26" s="20">
        <v>144.274</v>
      </c>
      <c r="D26" s="22">
        <v>98.921787938829027</v>
      </c>
      <c r="E26" s="21">
        <f>65+10.7353860892832</f>
        <v>75.735386089283196</v>
      </c>
      <c r="F26" s="22">
        <v>67.077465594160586</v>
      </c>
      <c r="G26" s="24">
        <v>97.430315677547782</v>
      </c>
      <c r="H26" s="22">
        <v>102.80818382413347</v>
      </c>
      <c r="I26" s="21">
        <f>65+9.12068300122515</f>
        <v>74.120683001225146</v>
      </c>
      <c r="J26" s="37">
        <v>61.660517053790294</v>
      </c>
      <c r="K26" s="24">
        <v>99.164910820281094</v>
      </c>
      <c r="L26" s="21">
        <v>4.7</v>
      </c>
      <c r="M26" s="21">
        <v>5.3</v>
      </c>
    </row>
    <row r="27" spans="2:14" ht="15" thickBot="1" x14ac:dyDescent="0.4">
      <c r="B27" s="36" t="s">
        <v>37</v>
      </c>
      <c r="C27" s="20">
        <v>144.72399999999999</v>
      </c>
      <c r="D27" s="22">
        <v>103.19379970444831</v>
      </c>
      <c r="E27" s="21">
        <f>65+12.065163785606</f>
        <v>77.065163785606003</v>
      </c>
      <c r="F27" s="22">
        <v>68.56046740370995</v>
      </c>
      <c r="G27" s="24">
        <v>103.40912103016997</v>
      </c>
      <c r="H27" s="22">
        <v>102.10396256538463</v>
      </c>
      <c r="I27" s="21">
        <f>65+7.81621219025486</f>
        <v>72.816212190254859</v>
      </c>
      <c r="J27" s="37">
        <v>66.433050877708908</v>
      </c>
      <c r="K27" s="24">
        <v>97.718029767529345</v>
      </c>
      <c r="L27" s="23">
        <v>6.2</v>
      </c>
      <c r="M27" s="23" t="s">
        <v>169</v>
      </c>
    </row>
    <row r="28" spans="2:14" ht="15" thickBot="1" x14ac:dyDescent="0.4">
      <c r="B28" s="36" t="s">
        <v>38</v>
      </c>
      <c r="C28" s="20">
        <v>146.858</v>
      </c>
      <c r="D28" s="22">
        <v>103.7663809178472</v>
      </c>
      <c r="E28" s="21">
        <f>65+12.8224054239082</f>
        <v>77.822405423908208</v>
      </c>
      <c r="F28" s="22">
        <v>76.074255803683613</v>
      </c>
      <c r="G28" s="24">
        <v>104.90555395521488</v>
      </c>
      <c r="H28" s="22">
        <v>103.07865318550165</v>
      </c>
      <c r="I28" s="21">
        <f>65+9.40752708964168</f>
        <v>74.407527089641675</v>
      </c>
      <c r="J28" s="37">
        <v>68.689742325395287</v>
      </c>
      <c r="K28" s="24">
        <v>104.38765849319192</v>
      </c>
      <c r="L28" s="21">
        <v>6.3</v>
      </c>
      <c r="M28" s="23">
        <v>4.2</v>
      </c>
    </row>
    <row r="29" spans="2:14" ht="17.649999999999999" customHeight="1" thickBot="1" x14ac:dyDescent="0.4">
      <c r="B29" s="30" t="s">
        <v>39</v>
      </c>
      <c r="C29" s="20">
        <v>148.30599999999998</v>
      </c>
      <c r="D29" s="22">
        <v>101.62315288780091</v>
      </c>
      <c r="E29" s="21">
        <f>65+12.3488632499337</f>
        <v>77.3488632499337</v>
      </c>
      <c r="F29" s="22">
        <v>67.679801697866679</v>
      </c>
      <c r="G29" s="24">
        <v>102.28883210932231</v>
      </c>
      <c r="H29" s="22">
        <v>101.04549698564283</v>
      </c>
      <c r="I29" s="21">
        <f>65+6.60734189430075</f>
        <v>71.607341894300745</v>
      </c>
      <c r="J29" s="37">
        <v>67.015280938345356</v>
      </c>
      <c r="K29" s="24">
        <v>102.40633803257761</v>
      </c>
      <c r="L29" s="21">
        <v>6.3</v>
      </c>
      <c r="M29" s="21">
        <v>3.8</v>
      </c>
    </row>
    <row r="30" spans="2:14" ht="15" thickBot="1" x14ac:dyDescent="0.4">
      <c r="B30" s="36" t="s">
        <v>40</v>
      </c>
      <c r="C30" s="20">
        <v>148.33699999999999</v>
      </c>
      <c r="D30" s="22">
        <v>100.78067804452112</v>
      </c>
      <c r="E30" s="21">
        <f>65+11.1921722761425</f>
        <v>76.1921722761425</v>
      </c>
      <c r="F30" s="22">
        <v>69.771508982399354</v>
      </c>
      <c r="G30" s="24">
        <v>99.629541308194405</v>
      </c>
      <c r="H30" s="22">
        <v>100.84025594270233</v>
      </c>
      <c r="I30" s="21">
        <f>65+6.66450973223509</f>
        <v>71.664509732235089</v>
      </c>
      <c r="J30" s="37">
        <v>67.54317765607523</v>
      </c>
      <c r="K30" s="24">
        <v>103.33359539752172</v>
      </c>
      <c r="L30" s="21">
        <v>6.4</v>
      </c>
      <c r="M30" s="23">
        <v>4.5999999999999996</v>
      </c>
    </row>
    <row r="31" spans="2:14" ht="15" thickBot="1" x14ac:dyDescent="0.4">
      <c r="B31" s="36" t="s">
        <v>41</v>
      </c>
      <c r="C31" s="20">
        <v>148.625</v>
      </c>
      <c r="D31" s="22">
        <v>98.41436425128245</v>
      </c>
      <c r="E31" s="21">
        <f>65+12.5449487963728</f>
        <v>77.544948796372807</v>
      </c>
      <c r="F31" s="22">
        <v>73.764715344038663</v>
      </c>
      <c r="G31" s="24">
        <v>99.266034259860277</v>
      </c>
      <c r="H31" s="22">
        <v>100.18907214880781</v>
      </c>
      <c r="I31" s="21">
        <f>65+7.14814211502842</f>
        <v>72.148142115028421</v>
      </c>
      <c r="J31" s="37">
        <v>69.742466785874626</v>
      </c>
      <c r="K31" s="24">
        <v>101.41277480180455</v>
      </c>
      <c r="L31" s="21">
        <v>5</v>
      </c>
      <c r="M31" s="21">
        <v>4.4000000000000004</v>
      </c>
    </row>
    <row r="32" spans="2:14" ht="15" thickBot="1" x14ac:dyDescent="0.4">
      <c r="B32" s="30" t="s">
        <v>42</v>
      </c>
      <c r="C32" s="20">
        <v>149.08799999999999</v>
      </c>
      <c r="D32" s="22">
        <v>99.94069626149809</v>
      </c>
      <c r="E32" s="21">
        <f>65+12.1688493096906</f>
        <v>77.1688493096906</v>
      </c>
      <c r="F32" s="22">
        <v>68.006839156041963</v>
      </c>
      <c r="G32" s="24">
        <v>100.33993483087036</v>
      </c>
      <c r="H32" s="22">
        <v>101.47625736070763</v>
      </c>
      <c r="I32" s="21">
        <f>65+8.41158842012466</f>
        <v>73.411588420124659</v>
      </c>
      <c r="J32" s="22">
        <v>66.07112241326297</v>
      </c>
      <c r="K32" s="24">
        <v>101.83597545931818</v>
      </c>
      <c r="L32" s="21">
        <v>5.9</v>
      </c>
      <c r="M32" s="23">
        <v>4.3</v>
      </c>
    </row>
    <row r="33" spans="2:14" ht="15" thickBot="1" x14ac:dyDescent="0.4">
      <c r="B33" s="30" t="s">
        <v>43</v>
      </c>
      <c r="C33" s="20">
        <v>149.82</v>
      </c>
      <c r="D33" s="22">
        <v>102.34874549043239</v>
      </c>
      <c r="E33" s="21">
        <f>65+10.6131931843029</f>
        <v>75.613193184302901</v>
      </c>
      <c r="F33" s="22">
        <v>66.837015229198599</v>
      </c>
      <c r="G33" s="24">
        <v>100.46547009738239</v>
      </c>
      <c r="H33" s="22">
        <v>100.37199957831783</v>
      </c>
      <c r="I33" s="21">
        <f>65+6.6693851854734</f>
        <v>71.669385185473402</v>
      </c>
      <c r="J33" s="37">
        <v>64.975394814458625</v>
      </c>
      <c r="K33" s="24">
        <v>101.00600341616448</v>
      </c>
      <c r="L33" s="21">
        <v>7.1</v>
      </c>
      <c r="M33" s="21">
        <v>4.8</v>
      </c>
    </row>
    <row r="34" spans="2:14" ht="16.899999999999999" customHeight="1" thickBot="1" x14ac:dyDescent="0.4">
      <c r="B34" s="30" t="s">
        <v>183</v>
      </c>
      <c r="C34" s="20">
        <v>150.24599999999998</v>
      </c>
      <c r="D34" s="22">
        <v>107.39878777991788</v>
      </c>
      <c r="E34" s="21">
        <f>65+14.9284489124562</f>
        <v>79.928448912456204</v>
      </c>
      <c r="F34" s="22">
        <v>70.138781711869797</v>
      </c>
      <c r="G34" s="24">
        <v>110.61517583411143</v>
      </c>
      <c r="H34" s="22">
        <v>104.22059758401288</v>
      </c>
      <c r="I34" s="21">
        <f>65+9.66287219699605</f>
        <v>74.662872196996048</v>
      </c>
      <c r="J34" s="22">
        <v>68.813228753052456</v>
      </c>
      <c r="K34" s="24">
        <v>104.06203347460973</v>
      </c>
      <c r="L34" s="21">
        <v>6.2</v>
      </c>
      <c r="M34" s="23">
        <v>7.1</v>
      </c>
    </row>
    <row r="35" spans="2:14" ht="15.4" customHeight="1" thickBot="1" x14ac:dyDescent="0.4">
      <c r="B35" s="30" t="s">
        <v>44</v>
      </c>
      <c r="C35" s="20">
        <v>150.26300000000001</v>
      </c>
      <c r="D35" s="22">
        <v>103.12386786027598</v>
      </c>
      <c r="E35" s="21">
        <f>65+12.3425815475016</f>
        <v>77.342581547501595</v>
      </c>
      <c r="F35" s="22">
        <v>71.482800524188278</v>
      </c>
      <c r="G35" s="24">
        <v>103.5367233267402</v>
      </c>
      <c r="H35" s="22">
        <v>102.81890601540202</v>
      </c>
      <c r="I35" s="21">
        <f>65+7.7403849272864</f>
        <v>72.740384927286399</v>
      </c>
      <c r="J35" s="37">
        <v>69.213493222520469</v>
      </c>
      <c r="K35" s="24">
        <v>103.05645834751834</v>
      </c>
      <c r="L35" s="21">
        <v>5.9</v>
      </c>
      <c r="M35" s="21">
        <v>5</v>
      </c>
    </row>
    <row r="36" spans="2:14" ht="13.9" customHeight="1" thickBot="1" x14ac:dyDescent="0.4">
      <c r="B36" s="62" t="s">
        <v>184</v>
      </c>
      <c r="C36" s="20">
        <v>150.37200000000001</v>
      </c>
      <c r="D36" s="22">
        <v>102.64828224542394</v>
      </c>
      <c r="E36" s="21">
        <f>65+12.0101155791229</f>
        <v>77.010115579122896</v>
      </c>
      <c r="F36" s="22">
        <v>69.798448378536463</v>
      </c>
      <c r="G36" s="24">
        <v>102.58881116079284</v>
      </c>
      <c r="H36" s="22">
        <v>101.73255168186638</v>
      </c>
      <c r="I36" s="21">
        <f>65+7.46787219699604</f>
        <v>72.467872196996041</v>
      </c>
      <c r="J36" s="22">
        <v>66.757728753052461</v>
      </c>
      <c r="K36" s="24">
        <v>100.30948763484299</v>
      </c>
      <c r="L36" s="21">
        <v>6.7</v>
      </c>
      <c r="M36" s="23">
        <v>6.6</v>
      </c>
      <c r="N36" t="s">
        <v>211</v>
      </c>
    </row>
    <row r="37" spans="2:14" ht="15" thickBot="1" x14ac:dyDescent="0.4">
      <c r="B37" s="12" t="s">
        <v>4</v>
      </c>
      <c r="C37" s="148"/>
      <c r="D37" s="148"/>
      <c r="E37" s="148"/>
      <c r="F37" s="148"/>
      <c r="G37" s="148"/>
      <c r="H37" s="148"/>
      <c r="I37" s="148"/>
      <c r="J37" s="148"/>
      <c r="K37" s="148"/>
      <c r="L37" s="148"/>
      <c r="M37" s="148"/>
    </row>
    <row r="38" spans="2:14" ht="15" thickBot="1" x14ac:dyDescent="0.4">
      <c r="B38" s="36" t="s">
        <v>45</v>
      </c>
      <c r="C38" s="20">
        <v>141.58199999999999</v>
      </c>
      <c r="D38" s="22">
        <v>100.47043093540331</v>
      </c>
      <c r="E38" s="21">
        <f>65+11.5661295561347</f>
        <v>76.566129556134698</v>
      </c>
      <c r="F38" s="22">
        <v>60.400548566485938</v>
      </c>
      <c r="G38" s="24">
        <v>100.16294976283552</v>
      </c>
      <c r="H38" s="22">
        <v>106.17373266232093</v>
      </c>
      <c r="I38" s="21">
        <f>65+8.83271172409171</f>
        <v>73.832711724091709</v>
      </c>
      <c r="J38" s="37">
        <v>60.185486224959909</v>
      </c>
      <c r="K38" s="24">
        <v>106.2533030968219</v>
      </c>
      <c r="L38" s="21">
        <v>1.7</v>
      </c>
      <c r="M38" s="21">
        <v>6.7</v>
      </c>
    </row>
    <row r="39" spans="2:14" ht="15" thickBot="1" x14ac:dyDescent="0.4">
      <c r="B39" s="36" t="s">
        <v>46</v>
      </c>
      <c r="C39" s="20">
        <v>143.41399999999999</v>
      </c>
      <c r="D39" s="22">
        <v>97.570723488915192</v>
      </c>
      <c r="E39" s="21">
        <f>65+11.9201902032335</f>
        <v>76.920190203233503</v>
      </c>
      <c r="F39" s="22">
        <v>65.275029490161657</v>
      </c>
      <c r="G39" s="24">
        <v>97.27937115895908</v>
      </c>
      <c r="H39" s="22">
        <v>105.92907955514292</v>
      </c>
      <c r="I39" s="21">
        <f>65+7.86492006654362</f>
        <v>72.864920066543618</v>
      </c>
      <c r="J39" s="37">
        <v>62.418503424944156</v>
      </c>
      <c r="K39" s="24">
        <v>109.79001147033615</v>
      </c>
      <c r="L39" s="21">
        <v>6.2</v>
      </c>
      <c r="M39" s="21">
        <v>5.0999999999999996</v>
      </c>
    </row>
    <row r="40" spans="2:14" ht="15" thickBot="1" x14ac:dyDescent="0.4">
      <c r="B40" s="36" t="s">
        <v>47</v>
      </c>
      <c r="C40" s="20">
        <v>143.619</v>
      </c>
      <c r="D40" s="22">
        <v>98.526468289450307</v>
      </c>
      <c r="E40" s="21">
        <f>65+12.2751254692475</f>
        <v>77.275125469247499</v>
      </c>
      <c r="F40" s="22">
        <v>58.802561704502985</v>
      </c>
      <c r="G40" s="24">
        <v>98.988993156039044</v>
      </c>
      <c r="H40" s="22">
        <v>106.46565982090407</v>
      </c>
      <c r="I40" s="21">
        <f>65+7.44995134934962</f>
        <v>72.449951349349618</v>
      </c>
      <c r="J40" s="37">
        <v>58.899311288769781</v>
      </c>
      <c r="K40" s="24">
        <v>107.22433247571163</v>
      </c>
      <c r="L40" s="21">
        <v>4.9000000000000004</v>
      </c>
      <c r="M40" s="21">
        <v>6.7</v>
      </c>
    </row>
    <row r="41" spans="2:14" ht="15" thickBot="1" x14ac:dyDescent="0.4">
      <c r="B41" s="36" t="s">
        <v>50</v>
      </c>
      <c r="C41" s="20">
        <v>143.9</v>
      </c>
      <c r="D41" s="22">
        <v>99.503609915210859</v>
      </c>
      <c r="E41" s="21">
        <f>65+11.8184971189393</f>
        <v>76.818497118939305</v>
      </c>
      <c r="F41" s="22">
        <v>64.624300737043257</v>
      </c>
      <c r="G41" s="24">
        <v>99.193964602714217</v>
      </c>
      <c r="H41" s="22">
        <v>107.50473927073797</v>
      </c>
      <c r="I41" s="21">
        <f>65+6.93454552358823</f>
        <v>71.934545523588227</v>
      </c>
      <c r="J41" s="37">
        <v>62.94005087770892</v>
      </c>
      <c r="K41" s="24">
        <v>110.93726367557487</v>
      </c>
      <c r="L41" s="23">
        <v>5.4</v>
      </c>
      <c r="M41" s="23" t="s">
        <v>169</v>
      </c>
    </row>
    <row r="42" spans="2:14" ht="15" thickBot="1" x14ac:dyDescent="0.4">
      <c r="B42" s="36" t="s">
        <v>48</v>
      </c>
      <c r="C42" s="20">
        <v>143.947</v>
      </c>
      <c r="D42" s="22">
        <v>97.851855470398846</v>
      </c>
      <c r="E42" s="21">
        <f>65+11.3455227034746</f>
        <v>76.3455227034746</v>
      </c>
      <c r="F42" s="22">
        <v>66.488441077865346</v>
      </c>
      <c r="G42" s="24">
        <v>97.093380297316671</v>
      </c>
      <c r="H42" s="22">
        <v>102.2199784999937</v>
      </c>
      <c r="I42" s="21">
        <f>65+8.13433495180271</f>
        <v>73.134334951802714</v>
      </c>
      <c r="J42" s="37">
        <v>64.944470362046886</v>
      </c>
      <c r="K42" s="24">
        <v>103.84976074993621</v>
      </c>
      <c r="L42" s="21">
        <v>8</v>
      </c>
      <c r="M42" s="23">
        <v>5.2</v>
      </c>
    </row>
    <row r="43" spans="2:14" ht="14.65" customHeight="1" thickBot="1" x14ac:dyDescent="0.4">
      <c r="B43" s="30" t="s">
        <v>203</v>
      </c>
      <c r="C43" s="20">
        <v>144.13999999999999</v>
      </c>
      <c r="D43" s="22">
        <v>98.752899338390534</v>
      </c>
      <c r="E43" s="21">
        <f>65+13.5701827739318</f>
        <v>78.570182773931805</v>
      </c>
      <c r="F43" s="22">
        <v>59.349436869364951</v>
      </c>
      <c r="G43" s="24">
        <v>100.80631670482434</v>
      </c>
      <c r="H43" s="22">
        <v>102.921617653216</v>
      </c>
      <c r="I43" s="21">
        <f>65+8.17657265683033</f>
        <v>73.176572656830331</v>
      </c>
      <c r="J43" s="37">
        <v>59.107644622103116</v>
      </c>
      <c r="K43" s="24">
        <v>106.55126169173495</v>
      </c>
      <c r="L43" s="23">
        <v>3.5</v>
      </c>
      <c r="M43" s="23">
        <v>6.3</v>
      </c>
    </row>
    <row r="44" spans="2:14" ht="15" thickBot="1" x14ac:dyDescent="0.4">
      <c r="B44" s="36" t="s">
        <v>49</v>
      </c>
      <c r="C44" s="20">
        <v>144.214</v>
      </c>
      <c r="D44" s="22">
        <v>104.30900145069195</v>
      </c>
      <c r="E44" s="21">
        <f>65+11.6738389428092</f>
        <v>76.673838942809198</v>
      </c>
      <c r="F44" s="22">
        <v>59.646508982399347</v>
      </c>
      <c r="G44" s="24">
        <v>103.86050697318868</v>
      </c>
      <c r="H44" s="22">
        <v>105.94495226467228</v>
      </c>
      <c r="I44" s="21">
        <f>65+8.56228751001287</f>
        <v>73.562287510012865</v>
      </c>
      <c r="J44" s="37">
        <v>59.783344322741883</v>
      </c>
      <c r="K44" s="24">
        <v>108.4069997024574</v>
      </c>
      <c r="L44" s="21">
        <v>5</v>
      </c>
      <c r="M44" s="23">
        <v>6.1</v>
      </c>
    </row>
    <row r="45" spans="2:14" ht="15" thickBot="1" x14ac:dyDescent="0.4">
      <c r="B45" s="36" t="s">
        <v>51</v>
      </c>
      <c r="C45" s="20">
        <v>146.59199999999998</v>
      </c>
      <c r="D45" s="22">
        <v>102.27622123111573</v>
      </c>
      <c r="E45" s="21">
        <f>65+10.5965564270803</f>
        <v>75.596556427080301</v>
      </c>
      <c r="F45" s="22">
        <v>69.961936647375538</v>
      </c>
      <c r="G45" s="24">
        <v>100.47786869142884</v>
      </c>
      <c r="H45" s="22">
        <v>103.84286146704841</v>
      </c>
      <c r="I45" s="21">
        <f>65+5.327318210608</f>
        <v>70.327318210607999</v>
      </c>
      <c r="J45" s="37">
        <v>66.552144622103128</v>
      </c>
      <c r="K45" s="24">
        <v>105.23720050520764</v>
      </c>
      <c r="L45" s="23">
        <v>5.7</v>
      </c>
      <c r="M45" s="23">
        <v>5.5</v>
      </c>
    </row>
    <row r="46" spans="2:14" ht="15" thickBot="1" x14ac:dyDescent="0.4">
      <c r="B46" s="36" t="s">
        <v>52</v>
      </c>
      <c r="C46" s="20">
        <v>147.51400000000001</v>
      </c>
      <c r="D46" s="22">
        <v>99.158324819905573</v>
      </c>
      <c r="E46" s="21">
        <f>65+12.2069831948346</f>
        <v>77.206983194834606</v>
      </c>
      <c r="F46" s="22">
        <v>66.330866839900025</v>
      </c>
      <c r="G46" s="24">
        <v>99.462790641100639</v>
      </c>
      <c r="H46" s="22">
        <v>98.610462123069809</v>
      </c>
      <c r="I46" s="21">
        <f>65+9.82903318259162</f>
        <v>74.829033182591616</v>
      </c>
      <c r="J46" s="37">
        <v>63.263462962748513</v>
      </c>
      <c r="K46" s="24">
        <v>102.40984760356484</v>
      </c>
      <c r="L46" s="21">
        <v>7</v>
      </c>
      <c r="M46" s="21">
        <v>4.3</v>
      </c>
    </row>
    <row r="47" spans="2:14" ht="15" thickBot="1" x14ac:dyDescent="0.4">
      <c r="B47" s="36" t="s">
        <v>53</v>
      </c>
      <c r="C47" s="20">
        <v>148.56299999999999</v>
      </c>
      <c r="D47" s="22">
        <v>99.383486065789668</v>
      </c>
      <c r="E47" s="21">
        <f>65+11.8931998049529</f>
        <v>76.8931998049529</v>
      </c>
      <c r="F47" s="22">
        <v>64.096671131214379</v>
      </c>
      <c r="G47" s="24">
        <v>99.489056693978199</v>
      </c>
      <c r="H47" s="22">
        <v>101.77322531840956</v>
      </c>
      <c r="I47" s="21">
        <f>65+7.19416959773547</f>
        <v>72.194169597735467</v>
      </c>
      <c r="J47" s="37">
        <v>64.141395750933128</v>
      </c>
      <c r="K47" s="24">
        <v>106.04804979826062</v>
      </c>
      <c r="L47" s="21">
        <v>3.7</v>
      </c>
      <c r="M47" s="21">
        <v>6.9</v>
      </c>
    </row>
    <row r="48" spans="2:14" ht="15" thickBot="1" x14ac:dyDescent="0.4">
      <c r="B48" s="52" t="s">
        <v>54</v>
      </c>
      <c r="C48" s="20">
        <v>150.10599999999999</v>
      </c>
      <c r="D48" s="22">
        <v>105.07660424644592</v>
      </c>
      <c r="E48" s="21">
        <f>65+13.6291270776539</f>
        <v>78.629127077653905</v>
      </c>
      <c r="F48" s="22">
        <v>65.685441153000511</v>
      </c>
      <c r="G48" s="24">
        <v>107.23309593025688</v>
      </c>
      <c r="H48" s="22">
        <v>103.90079634035796</v>
      </c>
      <c r="I48" s="21">
        <f>65+9.21393393663232</f>
        <v>74.213933936632316</v>
      </c>
      <c r="J48" s="37">
        <v>61.193288735633523</v>
      </c>
      <c r="K48" s="24">
        <v>106.19397415003269</v>
      </c>
      <c r="L48" s="21">
        <v>4.8</v>
      </c>
      <c r="M48" s="23">
        <v>6.6</v>
      </c>
    </row>
    <row r="49" spans="1:15" ht="15" thickBot="1" x14ac:dyDescent="0.4">
      <c r="A49" s="11"/>
      <c r="B49" s="36" t="s">
        <v>55</v>
      </c>
      <c r="C49" s="20">
        <v>150.61700000000002</v>
      </c>
      <c r="D49" s="22">
        <v>97.940081038338533</v>
      </c>
      <c r="E49" s="21">
        <f>65+10.9494397439124</f>
        <v>75.949439743912393</v>
      </c>
      <c r="F49" s="22">
        <v>64.479398440451888</v>
      </c>
      <c r="G49" s="24">
        <v>96.837456702996789</v>
      </c>
      <c r="H49" s="22">
        <v>101.06537470949827</v>
      </c>
      <c r="I49" s="21">
        <f>65+7.54543508338791</f>
        <v>72.545435083387915</v>
      </c>
      <c r="J49" s="37">
        <v>64.581840195377595</v>
      </c>
      <c r="K49" s="24">
        <v>103.91531481048911</v>
      </c>
      <c r="L49" s="23">
        <v>5.7</v>
      </c>
      <c r="M49" s="23">
        <v>5.8</v>
      </c>
      <c r="N49" s="11"/>
      <c r="O49" s="11"/>
    </row>
    <row r="50" spans="1:15" ht="15" thickBot="1" x14ac:dyDescent="0.4">
      <c r="B50" s="30" t="s">
        <v>56</v>
      </c>
      <c r="C50" s="20">
        <v>151.03100000000001</v>
      </c>
      <c r="D50" s="22">
        <v>100.26544516087722</v>
      </c>
      <c r="E50" s="21">
        <f>65+12.0658444911638</f>
        <v>77.065844491163801</v>
      </c>
      <c r="F50" s="22">
        <v>61.445501245857429</v>
      </c>
      <c r="G50" s="24">
        <v>100.41983345005522</v>
      </c>
      <c r="H50" s="22">
        <v>101.97957260971599</v>
      </c>
      <c r="I50" s="21">
        <f>65+7.57886940362332</f>
        <v>72.578869403623315</v>
      </c>
      <c r="J50" s="22">
        <v>59.602650541125129</v>
      </c>
      <c r="K50" s="24">
        <v>103.32141013429758</v>
      </c>
      <c r="L50" s="21">
        <v>2.6</v>
      </c>
      <c r="M50" s="21">
        <v>6.4</v>
      </c>
    </row>
    <row r="51" spans="1:15" ht="15" thickBot="1" x14ac:dyDescent="0.4">
      <c r="A51" s="13"/>
      <c r="B51" s="36" t="s">
        <v>58</v>
      </c>
      <c r="C51" s="20">
        <v>151.078</v>
      </c>
      <c r="D51" s="22">
        <v>95.70744861215168</v>
      </c>
      <c r="E51" s="21">
        <f>65+11.7339162759214</f>
        <v>76.733916275921402</v>
      </c>
      <c r="F51" s="22">
        <v>65.662193978096795</v>
      </c>
      <c r="G51" s="24">
        <v>95.283878206901775</v>
      </c>
      <c r="H51" s="22">
        <v>101.39343465364917</v>
      </c>
      <c r="I51" s="21">
        <f>65+8.17256169584935</f>
        <v>73.172561695849353</v>
      </c>
      <c r="J51" s="37">
        <v>62.300082566868063</v>
      </c>
      <c r="K51" s="24">
        <v>103.99422066967232</v>
      </c>
      <c r="L51" s="21">
        <v>6.3</v>
      </c>
      <c r="M51" s="23">
        <v>6.1</v>
      </c>
      <c r="N51" s="13"/>
      <c r="O51" s="13"/>
    </row>
    <row r="52" spans="1:15" ht="15" thickBot="1" x14ac:dyDescent="0.4">
      <c r="B52" s="36" t="s">
        <v>57</v>
      </c>
      <c r="C52" s="20">
        <v>151.489</v>
      </c>
      <c r="D52" s="22">
        <v>95.876578551756026</v>
      </c>
      <c r="E52" s="21">
        <f>65+10.080819270837</f>
        <v>75.080819270836997</v>
      </c>
      <c r="F52" s="22">
        <v>61.50740053412688</v>
      </c>
      <c r="G52" s="24">
        <v>93.615649597144511</v>
      </c>
      <c r="H52" s="22">
        <v>103.4821637605485</v>
      </c>
      <c r="I52" s="21">
        <f>65+5.00943212266837</f>
        <v>70.009432122668372</v>
      </c>
      <c r="J52" s="37">
        <v>62.775995763311542</v>
      </c>
      <c r="K52" s="54">
        <v>109.35330605210973</v>
      </c>
      <c r="L52" s="21">
        <v>6</v>
      </c>
      <c r="M52" s="23">
        <v>6.2</v>
      </c>
    </row>
    <row r="53" spans="1:15" ht="15" thickBot="1" x14ac:dyDescent="0.4">
      <c r="B53" s="36" t="s">
        <v>59</v>
      </c>
      <c r="C53" s="20">
        <v>152.02199999999999</v>
      </c>
      <c r="D53" s="22">
        <v>95.167704788253815</v>
      </c>
      <c r="E53" s="21">
        <f>65+12.8324034589532</f>
        <v>77.832403458953195</v>
      </c>
      <c r="F53" s="22">
        <v>62.944217608214707</v>
      </c>
      <c r="G53" s="24">
        <v>96.129431203079932</v>
      </c>
      <c r="H53" s="22">
        <v>96.989093512902286</v>
      </c>
      <c r="I53" s="21">
        <f>65+9.4913849272864</f>
        <v>74.491384927286404</v>
      </c>
      <c r="J53" s="22">
        <v>58.287049240433561</v>
      </c>
      <c r="K53" s="24">
        <v>104.86554079274599</v>
      </c>
      <c r="L53" s="21">
        <v>6.7</v>
      </c>
      <c r="M53" s="21">
        <v>6.8</v>
      </c>
    </row>
    <row r="54" spans="1:15" x14ac:dyDescent="0.35">
      <c r="A54" s="13"/>
      <c r="B54" s="5"/>
      <c r="O54" s="13"/>
    </row>
    <row r="55" spans="1:15" ht="18.5" x14ac:dyDescent="0.45">
      <c r="B55" s="14" t="s">
        <v>18</v>
      </c>
    </row>
    <row r="56" spans="1:15" ht="15" thickBot="1" x14ac:dyDescent="0.4">
      <c r="B56" s="5"/>
    </row>
    <row r="57" spans="1:15" ht="14.65" customHeight="1" thickBot="1" x14ac:dyDescent="0.4">
      <c r="B57" s="127" t="s">
        <v>6</v>
      </c>
      <c r="C57" s="127" t="s">
        <v>7</v>
      </c>
      <c r="D57" s="100" t="s">
        <v>8</v>
      </c>
      <c r="E57" s="101"/>
      <c r="F57" s="101"/>
      <c r="G57" s="102"/>
      <c r="H57" s="100" t="s">
        <v>0</v>
      </c>
      <c r="I57" s="101"/>
      <c r="J57" s="101"/>
      <c r="K57" s="102"/>
      <c r="L57" s="121" t="s">
        <v>19</v>
      </c>
      <c r="M57" s="149" t="s">
        <v>198</v>
      </c>
    </row>
    <row r="58" spans="1:15" ht="15" thickBot="1" x14ac:dyDescent="0.4">
      <c r="B58" s="127"/>
      <c r="C58" s="127"/>
      <c r="D58" s="103"/>
      <c r="E58" s="104"/>
      <c r="F58" s="104"/>
      <c r="G58" s="105"/>
      <c r="H58" s="124"/>
      <c r="I58" s="140"/>
      <c r="J58" s="140"/>
      <c r="K58" s="141"/>
      <c r="L58" s="142"/>
      <c r="M58" s="150"/>
    </row>
    <row r="59" spans="1:15" ht="14.65" customHeight="1" thickBot="1" x14ac:dyDescent="0.4">
      <c r="B59" s="127"/>
      <c r="C59" s="127"/>
      <c r="D59" s="143" t="s">
        <v>191</v>
      </c>
      <c r="E59" s="121" t="s">
        <v>9</v>
      </c>
      <c r="F59" s="146" t="s">
        <v>189</v>
      </c>
      <c r="G59" s="146" t="s">
        <v>204</v>
      </c>
      <c r="H59" s="143" t="s">
        <v>197</v>
      </c>
      <c r="I59" s="152" t="s">
        <v>10</v>
      </c>
      <c r="J59" s="121" t="s">
        <v>190</v>
      </c>
      <c r="K59" s="121" t="s">
        <v>212</v>
      </c>
      <c r="L59" s="122"/>
      <c r="M59" s="151"/>
    </row>
    <row r="60" spans="1:15" ht="80.650000000000006" customHeight="1" thickBot="1" x14ac:dyDescent="0.4">
      <c r="B60" s="127"/>
      <c r="C60" s="127"/>
      <c r="D60" s="144"/>
      <c r="E60" s="122"/>
      <c r="F60" s="157"/>
      <c r="G60" s="147"/>
      <c r="H60" s="144"/>
      <c r="I60" s="152"/>
      <c r="J60" s="122"/>
      <c r="K60" s="122"/>
      <c r="L60" s="138" t="s">
        <v>17</v>
      </c>
      <c r="M60" s="139"/>
      <c r="N60" s="78" t="s">
        <v>213</v>
      </c>
    </row>
    <row r="61" spans="1:15" ht="15" thickBot="1" x14ac:dyDescent="0.4">
      <c r="B61" s="12" t="s">
        <v>3</v>
      </c>
      <c r="C61" s="148"/>
      <c r="D61" s="148"/>
      <c r="E61" s="148"/>
      <c r="F61" s="148"/>
      <c r="G61" s="148"/>
      <c r="H61" s="148"/>
      <c r="I61" s="148"/>
      <c r="J61" s="148"/>
      <c r="K61" s="148"/>
      <c r="L61" s="148"/>
      <c r="M61" s="148"/>
    </row>
    <row r="62" spans="1:15" ht="15" thickBot="1" x14ac:dyDescent="0.4">
      <c r="B62" s="36" t="s">
        <v>61</v>
      </c>
      <c r="C62" s="20">
        <v>150.559</v>
      </c>
      <c r="D62" s="57">
        <v>101.02334149259922</v>
      </c>
      <c r="E62" s="58">
        <f>65+12.3955468023642</f>
        <v>77.395546802364194</v>
      </c>
      <c r="F62" s="22">
        <v>72.896598472343825</v>
      </c>
      <c r="G62" s="79">
        <v>101.96154277189328</v>
      </c>
      <c r="H62" s="22">
        <v>101.37051803095694</v>
      </c>
      <c r="I62" s="21">
        <f>65+7.92043870843372</f>
        <v>72.920438708433721</v>
      </c>
      <c r="J62" s="37">
        <v>70.228589286384477</v>
      </c>
      <c r="K62" s="24">
        <v>101.73105256797305</v>
      </c>
      <c r="L62" s="23">
        <v>6.5</v>
      </c>
      <c r="M62" s="23">
        <v>4.8</v>
      </c>
    </row>
    <row r="63" spans="1:15" ht="15" thickBot="1" x14ac:dyDescent="0.4">
      <c r="B63" s="36" t="s">
        <v>62</v>
      </c>
      <c r="C63" s="20">
        <v>150.98500000000001</v>
      </c>
      <c r="D63" s="57">
        <v>97.439507925668494</v>
      </c>
      <c r="E63" s="58">
        <f>65+11.1750471856919</f>
        <v>76.175047185691895</v>
      </c>
      <c r="F63" s="22">
        <v>74.963386613559621</v>
      </c>
      <c r="G63" s="79">
        <v>96.716046669178752</v>
      </c>
      <c r="H63" s="22">
        <v>98.448667145379602</v>
      </c>
      <c r="I63" s="21">
        <f>65+8.64313626953121</f>
        <v>73.643136269531212</v>
      </c>
      <c r="J63" s="37">
        <v>67.476419680753125</v>
      </c>
      <c r="K63" s="24">
        <v>97.098022158363307</v>
      </c>
      <c r="L63" s="21">
        <v>7.2</v>
      </c>
      <c r="M63" s="21">
        <v>5.3</v>
      </c>
    </row>
    <row r="64" spans="1:15" ht="15" thickBot="1" x14ac:dyDescent="0.4">
      <c r="B64" s="36" t="s">
        <v>60</v>
      </c>
      <c r="C64" s="20">
        <v>151.137</v>
      </c>
      <c r="D64" s="57">
        <v>111.3847947101885</v>
      </c>
      <c r="E64" s="58">
        <f>65+13.9764943569082</f>
        <v>78.976494356908205</v>
      </c>
      <c r="F64" s="22">
        <v>66.801470632091693</v>
      </c>
      <c r="G64" s="79">
        <v>114.97631411107884</v>
      </c>
      <c r="H64" s="22">
        <v>100.34384880678776</v>
      </c>
      <c r="I64" s="21">
        <f>65+11.289122009487</f>
        <v>76.289122009487002</v>
      </c>
      <c r="J64" s="37">
        <v>62.622430092371239</v>
      </c>
      <c r="K64" s="24">
        <v>104.02222980353334</v>
      </c>
      <c r="L64" s="23">
        <v>5.0999999999999996</v>
      </c>
      <c r="M64" s="23" t="s">
        <v>169</v>
      </c>
    </row>
    <row r="65" spans="1:15" ht="15" thickBot="1" x14ac:dyDescent="0.4">
      <c r="B65" s="63" t="s">
        <v>180</v>
      </c>
      <c r="C65" s="65">
        <v>151.83699999999999</v>
      </c>
      <c r="D65" s="66">
        <v>107.89678565817454</v>
      </c>
      <c r="E65" s="67">
        <f>65+11.6538687078144</f>
        <v>76.653868707814397</v>
      </c>
      <c r="F65" s="66">
        <v>65.55208923161959</v>
      </c>
      <c r="G65" s="69">
        <v>107.54095923614241</v>
      </c>
      <c r="H65" s="66">
        <v>102.53716134972012</v>
      </c>
      <c r="I65" s="67">
        <f>65+6.51246015265743</f>
        <v>71.512460152657425</v>
      </c>
      <c r="J65" s="66">
        <v>61.686747005335882</v>
      </c>
      <c r="K65" s="69">
        <v>101.6409231707721</v>
      </c>
      <c r="L65" s="67">
        <v>6.1</v>
      </c>
      <c r="M65" s="68">
        <v>3.9</v>
      </c>
      <c r="N65" t="s">
        <v>200</v>
      </c>
      <c r="O65" t="s">
        <v>201</v>
      </c>
    </row>
    <row r="66" spans="1:15" ht="15" thickBot="1" x14ac:dyDescent="0.4">
      <c r="B66" s="36" t="s">
        <v>64</v>
      </c>
      <c r="C66" s="20">
        <v>152.261</v>
      </c>
      <c r="D66" s="57">
        <v>101.98355707043815</v>
      </c>
      <c r="E66" s="58">
        <f>65+10.7389992821474</f>
        <v>75.738999282147404</v>
      </c>
      <c r="F66" s="22">
        <v>69.419519594368396</v>
      </c>
      <c r="G66" s="79">
        <v>100.653654151418</v>
      </c>
      <c r="H66" s="22">
        <v>99.054456918094957</v>
      </c>
      <c r="I66" s="21">
        <f>65+8.5295768313737</f>
        <v>73.529576831373703</v>
      </c>
      <c r="J66" s="37">
        <v>65.128856559380964</v>
      </c>
      <c r="K66" s="24">
        <v>96.377449913051151</v>
      </c>
      <c r="L66" s="21">
        <v>4.3</v>
      </c>
      <c r="M66" s="23">
        <v>4.2</v>
      </c>
    </row>
    <row r="67" spans="1:15" ht="15" thickBot="1" x14ac:dyDescent="0.4">
      <c r="B67" s="36" t="s">
        <v>63</v>
      </c>
      <c r="C67" s="20">
        <v>152.43</v>
      </c>
      <c r="D67" s="57">
        <v>102.28229335877896</v>
      </c>
      <c r="E67" s="21">
        <f>65+13.8021417365787</f>
        <v>78.802141736578704</v>
      </c>
      <c r="F67" s="22">
        <v>70.522200094413492</v>
      </c>
      <c r="G67" s="24">
        <v>104.7365691980123</v>
      </c>
      <c r="H67" s="22">
        <v>97.531146129167155</v>
      </c>
      <c r="I67" s="21">
        <f>65+11.0454351018431</f>
        <v>76.045435101843097</v>
      </c>
      <c r="J67" s="37">
        <v>66.266457760331619</v>
      </c>
      <c r="K67" s="24">
        <v>98.596799320110122</v>
      </c>
      <c r="L67" s="23">
        <v>6.4</v>
      </c>
      <c r="M67" s="21">
        <v>4.0999999999999996</v>
      </c>
    </row>
    <row r="68" spans="1:15" ht="15" thickBot="1" x14ac:dyDescent="0.4">
      <c r="B68" s="36" t="s">
        <v>172</v>
      </c>
      <c r="C68" s="20">
        <v>152.49200000000002</v>
      </c>
      <c r="D68" s="57">
        <v>101.14356321526687</v>
      </c>
      <c r="E68" s="21">
        <f>65+11.0940463555422</f>
        <v>76.094046355542204</v>
      </c>
      <c r="F68" s="22">
        <v>70.866637298758377</v>
      </c>
      <c r="G68" s="24">
        <v>99.443427947054445</v>
      </c>
      <c r="H68" s="22">
        <v>96.583094097288878</v>
      </c>
      <c r="I68" s="21">
        <f>65+8.4107886761537</f>
        <v>73.4107886761537</v>
      </c>
      <c r="J68" s="37">
        <v>67.731596759037899</v>
      </c>
      <c r="K68" s="24">
        <v>96.033591611833288</v>
      </c>
      <c r="L68" s="21">
        <v>7.2</v>
      </c>
      <c r="M68" s="23" t="s">
        <v>169</v>
      </c>
    </row>
    <row r="69" spans="1:15" ht="15" thickBot="1" x14ac:dyDescent="0.4">
      <c r="B69" s="36" t="s">
        <v>65</v>
      </c>
      <c r="C69" s="20">
        <v>152.56100000000001</v>
      </c>
      <c r="D69" s="57">
        <v>97.229670447184589</v>
      </c>
      <c r="E69" s="21">
        <f>65+11.4118557832224</f>
        <v>76.411855783222393</v>
      </c>
      <c r="F69" s="22">
        <v>76.638137298758366</v>
      </c>
      <c r="G69" s="24">
        <v>97.184271663798214</v>
      </c>
      <c r="H69" s="22">
        <v>97.454341354141846</v>
      </c>
      <c r="I69" s="21">
        <f>65+7.82578867615369</f>
        <v>72.825788676153692</v>
      </c>
      <c r="J69" s="37">
        <v>69.827763425704589</v>
      </c>
      <c r="K69" s="24">
        <v>96.840017873548263</v>
      </c>
      <c r="L69" s="21">
        <v>6.5</v>
      </c>
      <c r="M69" s="23" t="s">
        <v>169</v>
      </c>
    </row>
    <row r="70" spans="1:15" ht="15" thickBot="1" x14ac:dyDescent="0.4">
      <c r="B70" s="36" t="s">
        <v>68</v>
      </c>
      <c r="C70" s="20">
        <v>152.92700000000002</v>
      </c>
      <c r="D70" s="57">
        <v>106.36693683512389</v>
      </c>
      <c r="E70" s="21">
        <f>65+11.6418557832224</f>
        <v>76.641855783222397</v>
      </c>
      <c r="F70" s="22">
        <v>64.320303965425026</v>
      </c>
      <c r="G70" s="24">
        <v>106.51452905933968</v>
      </c>
      <c r="H70" s="22">
        <v>103.19710959386697</v>
      </c>
      <c r="I70" s="21">
        <f>65+10.7757886761537</f>
        <v>75.775788676153695</v>
      </c>
      <c r="J70" s="37">
        <v>62.365930092371251</v>
      </c>
      <c r="K70" s="24">
        <v>106.43686991574164</v>
      </c>
      <c r="L70" s="23">
        <v>4.9000000000000004</v>
      </c>
      <c r="M70" s="23" t="s">
        <v>169</v>
      </c>
    </row>
    <row r="71" spans="1:15" ht="15" thickBot="1" x14ac:dyDescent="0.4">
      <c r="B71" s="36" t="s">
        <v>66</v>
      </c>
      <c r="C71" s="20">
        <v>152.93099999999998</v>
      </c>
      <c r="D71" s="57">
        <v>95.413080992640005</v>
      </c>
      <c r="E71" s="21">
        <f>65+10.3081929358436</f>
        <v>75.308192935843607</v>
      </c>
      <c r="F71" s="22">
        <v>70.768502153988393</v>
      </c>
      <c r="G71" s="24">
        <v>93.89592642337422</v>
      </c>
      <c r="H71" s="22">
        <v>94.980835495970766</v>
      </c>
      <c r="I71" s="21">
        <f>65+7.6411077460772</f>
        <v>72.641107746077196</v>
      </c>
      <c r="J71" s="37">
        <v>66.95044792269826</v>
      </c>
      <c r="K71" s="24">
        <v>94.110841971488469</v>
      </c>
      <c r="L71" s="21">
        <v>6.8</v>
      </c>
      <c r="M71" s="21">
        <v>4.5999999999999996</v>
      </c>
    </row>
    <row r="72" spans="1:15" ht="15" thickBot="1" x14ac:dyDescent="0.4">
      <c r="B72" s="36" t="s">
        <v>67</v>
      </c>
      <c r="C72" s="20">
        <v>153.05799999999999</v>
      </c>
      <c r="D72" s="57">
        <v>99.32932933607016</v>
      </c>
      <c r="E72" s="21">
        <f>65+12.0022936750114</f>
        <v>77.002293675011401</v>
      </c>
      <c r="F72" s="22">
        <v>71.999335680434982</v>
      </c>
      <c r="G72" s="24">
        <v>99.712970238500205</v>
      </c>
      <c r="H72" s="22">
        <v>100.24722162073749</v>
      </c>
      <c r="I72" s="21">
        <f>65+9.84750150076749</f>
        <v>74.847501500767493</v>
      </c>
      <c r="J72" s="37">
        <v>68.94740969115756</v>
      </c>
      <c r="K72" s="24">
        <v>101.41564330906191</v>
      </c>
      <c r="L72" s="23">
        <v>2.9</v>
      </c>
      <c r="M72" s="23">
        <v>4.2</v>
      </c>
    </row>
    <row r="73" spans="1:15" ht="15" thickBot="1" x14ac:dyDescent="0.4">
      <c r="B73" s="36" t="s">
        <v>69</v>
      </c>
      <c r="C73" s="20">
        <v>153.11000000000001</v>
      </c>
      <c r="D73" s="57">
        <v>102.03796016527178</v>
      </c>
      <c r="E73" s="58">
        <f>65+9.75759324908351</f>
        <v>74.757593249083513</v>
      </c>
      <c r="F73" s="22">
        <v>64.437607242695606</v>
      </c>
      <c r="G73" s="79">
        <v>99.809428508785672</v>
      </c>
      <c r="H73" s="22">
        <v>101.67596045953788</v>
      </c>
      <c r="I73" s="21">
        <f>65+6.99705511600537</f>
        <v>71.99705511600537</v>
      </c>
      <c r="J73" s="37">
        <v>62.810580338669219</v>
      </c>
      <c r="K73" s="24">
        <v>101.04580338617791</v>
      </c>
      <c r="L73" s="21">
        <v>6.8</v>
      </c>
      <c r="M73" s="21">
        <v>4.3</v>
      </c>
    </row>
    <row r="74" spans="1:15" ht="15" thickBot="1" x14ac:dyDescent="0.4">
      <c r="B74" s="64" t="s">
        <v>181</v>
      </c>
      <c r="C74" s="20">
        <v>153.70400000000001</v>
      </c>
      <c r="D74" s="57">
        <v>104.34663757114079</v>
      </c>
      <c r="E74" s="58">
        <f>65+10.7422020411477</f>
        <v>75.742202041147692</v>
      </c>
      <c r="F74" s="22">
        <v>71.321589231619569</v>
      </c>
      <c r="G74" s="79">
        <v>103.18957741606464</v>
      </c>
      <c r="H74" s="22">
        <v>103.08646554519937</v>
      </c>
      <c r="I74" s="21">
        <f>65+9.0991268193241</f>
        <v>74.099126819324098</v>
      </c>
      <c r="J74" s="22">
        <v>67.02691367200255</v>
      </c>
      <c r="K74" s="24">
        <v>102.73916412994565</v>
      </c>
      <c r="L74" s="21">
        <v>6.3</v>
      </c>
      <c r="M74" s="23">
        <v>4.9000000000000004</v>
      </c>
      <c r="N74" t="s">
        <v>211</v>
      </c>
    </row>
    <row r="75" spans="1:15" ht="15" thickBot="1" x14ac:dyDescent="0.4">
      <c r="B75" s="36" t="s">
        <v>73</v>
      </c>
      <c r="C75" s="20">
        <v>153.739</v>
      </c>
      <c r="D75" s="57">
        <v>99.106577732886166</v>
      </c>
      <c r="E75" s="58">
        <f>65+10.4447075541889</f>
        <v>75.444707554188895</v>
      </c>
      <c r="F75" s="22">
        <v>65.776617361746702</v>
      </c>
      <c r="G75" s="79">
        <v>97.411539418356284</v>
      </c>
      <c r="H75" s="22">
        <v>94.713564813003188</v>
      </c>
      <c r="I75" s="21">
        <f>65+8.0064261450519</f>
        <v>73.006426145051904</v>
      </c>
      <c r="J75" s="37">
        <v>62.297836347419782</v>
      </c>
      <c r="K75" s="24">
        <v>95.135743404607666</v>
      </c>
      <c r="L75" s="21">
        <v>7</v>
      </c>
      <c r="M75" s="21">
        <v>4</v>
      </c>
    </row>
    <row r="76" spans="1:15" ht="15" thickBot="1" x14ac:dyDescent="0.4">
      <c r="B76" s="36" t="s">
        <v>70</v>
      </c>
      <c r="C76" s="20">
        <v>153.78300000000002</v>
      </c>
      <c r="D76" s="57">
        <v>99.415937597631213</v>
      </c>
      <c r="E76" s="58">
        <f>65+11.1418565999066</f>
        <v>76.141856599906603</v>
      </c>
      <c r="F76" s="22">
        <v>69.86923387832671</v>
      </c>
      <c r="G76" s="79">
        <v>97.481936043628536</v>
      </c>
      <c r="H76" s="22">
        <v>98.573258639709096</v>
      </c>
      <c r="I76" s="21">
        <f>65+8.38817701441918</f>
        <v>73.388177014419185</v>
      </c>
      <c r="J76" s="37">
        <v>66.399164291475472</v>
      </c>
      <c r="K76" s="24">
        <v>98.637433467494773</v>
      </c>
      <c r="L76" s="23">
        <v>6.1</v>
      </c>
      <c r="M76" s="21">
        <v>4.8</v>
      </c>
    </row>
    <row r="77" spans="1:15" ht="15" thickBot="1" x14ac:dyDescent="0.4">
      <c r="B77" s="36" t="s">
        <v>72</v>
      </c>
      <c r="C77" s="20">
        <v>154.018</v>
      </c>
      <c r="D77" s="57">
        <v>98.060990412585838</v>
      </c>
      <c r="E77" s="58">
        <f>65+11.2700342762727</f>
        <v>76.270034276272696</v>
      </c>
      <c r="F77" s="22">
        <v>70.325519634384392</v>
      </c>
      <c r="G77" s="79">
        <v>97.356285934093506</v>
      </c>
      <c r="H77" s="22">
        <v>97.770663857159946</v>
      </c>
      <c r="I77" s="21">
        <f>65+7.99078447681978</f>
        <v>72.990784476819783</v>
      </c>
      <c r="J77" s="37">
        <v>67.140618233268412</v>
      </c>
      <c r="K77" s="24">
        <v>96.307849663628616</v>
      </c>
      <c r="L77" s="23">
        <v>4.9000000000000004</v>
      </c>
      <c r="M77" s="23">
        <v>4.9000000000000004</v>
      </c>
    </row>
    <row r="78" spans="1:15" ht="15" thickBot="1" x14ac:dyDescent="0.4">
      <c r="B78" s="36" t="s">
        <v>71</v>
      </c>
      <c r="C78" s="20">
        <v>154.047</v>
      </c>
      <c r="D78" s="57">
        <v>99.486657675702617</v>
      </c>
      <c r="E78" s="58">
        <f>65+12.5451929358436</f>
        <v>77.545192935843602</v>
      </c>
      <c r="F78" s="22">
        <v>73.96830215398839</v>
      </c>
      <c r="G78" s="79">
        <v>100.73074738591212</v>
      </c>
      <c r="H78" s="22">
        <v>94.549831352246926</v>
      </c>
      <c r="I78" s="21">
        <f>65+8.89110774607721</f>
        <v>73.891107746077211</v>
      </c>
      <c r="J78" s="37">
        <v>71.53364792269825</v>
      </c>
      <c r="K78" s="24">
        <v>94.478140528549858</v>
      </c>
      <c r="L78" s="21">
        <v>5.8</v>
      </c>
      <c r="M78" s="21">
        <v>3.7</v>
      </c>
      <c r="N78" s="13"/>
    </row>
    <row r="79" spans="1:15" ht="15" thickBot="1" x14ac:dyDescent="0.4">
      <c r="B79" s="36" t="s">
        <v>74</v>
      </c>
      <c r="C79" s="20">
        <v>154.46299999999999</v>
      </c>
      <c r="D79" s="57">
        <v>95.689364339303054</v>
      </c>
      <c r="E79" s="58">
        <f>65+11.8159219062341</f>
        <v>76.815921906234095</v>
      </c>
      <c r="F79" s="22">
        <v>68.640847898592824</v>
      </c>
      <c r="G79" s="79">
        <v>96.020496374883749</v>
      </c>
      <c r="H79" s="22">
        <v>91.576270485888514</v>
      </c>
      <c r="I79" s="21">
        <f>65+9.82121653816303</f>
        <v>74.821216538163029</v>
      </c>
      <c r="J79" s="37">
        <v>61.992505530659244</v>
      </c>
      <c r="K79" s="24">
        <v>89.579013296834205</v>
      </c>
      <c r="L79" s="21">
        <v>4.9000000000000004</v>
      </c>
      <c r="M79" s="21">
        <v>4.8</v>
      </c>
    </row>
    <row r="80" spans="1:15" ht="15" thickBot="1" x14ac:dyDescent="0.4">
      <c r="A80" s="11"/>
      <c r="B80" s="36" t="s">
        <v>75</v>
      </c>
      <c r="C80" s="20">
        <v>154.648</v>
      </c>
      <c r="D80" s="57">
        <v>97.807185607828387</v>
      </c>
      <c r="E80" s="58">
        <f>65+11.4324437576206</f>
        <v>76.432443757620604</v>
      </c>
      <c r="F80" s="22">
        <v>71.164257537632565</v>
      </c>
      <c r="G80" s="79">
        <v>97.511116472703122</v>
      </c>
      <c r="H80" s="22">
        <v>99.040572018629433</v>
      </c>
      <c r="I80" s="21">
        <f>65+8.89672436153374</f>
        <v>73.896724361533742</v>
      </c>
      <c r="J80" s="37">
        <v>64.982198702648347</v>
      </c>
      <c r="K80" s="24">
        <v>100.87146115879757</v>
      </c>
      <c r="L80" s="21">
        <v>6.4</v>
      </c>
      <c r="M80" s="23">
        <v>4.3</v>
      </c>
      <c r="N80" s="11"/>
      <c r="O80" s="11"/>
    </row>
    <row r="81" spans="1:15" ht="15" thickBot="1" x14ac:dyDescent="0.4">
      <c r="A81" s="11"/>
      <c r="B81" s="63" t="s">
        <v>182</v>
      </c>
      <c r="C81" s="65">
        <v>155.06799768518519</v>
      </c>
      <c r="D81" s="66">
        <v>104.42484267756622</v>
      </c>
      <c r="E81" s="67">
        <f>65+12.3522020411477</f>
        <v>77.352202041147706</v>
      </c>
      <c r="F81" s="66">
        <v>66.065922564952913</v>
      </c>
      <c r="G81" s="69">
        <v>105.02197147170295</v>
      </c>
      <c r="H81" s="66">
        <v>98.707711348466361</v>
      </c>
      <c r="I81" s="67">
        <f>65+9.67246015265742</f>
        <v>74.672460152657422</v>
      </c>
      <c r="J81" s="66">
        <v>61.3542470053359</v>
      </c>
      <c r="K81" s="69">
        <v>100.92220999731059</v>
      </c>
      <c r="L81" s="67">
        <v>4.0999999999999996</v>
      </c>
      <c r="M81" s="68">
        <v>4.8</v>
      </c>
      <c r="N81" t="s">
        <v>200</v>
      </c>
      <c r="O81" t="s">
        <v>201</v>
      </c>
    </row>
    <row r="82" spans="1:15" ht="15" thickBot="1" x14ac:dyDescent="0.4">
      <c r="B82" s="36" t="s">
        <v>77</v>
      </c>
      <c r="C82" s="20">
        <v>155.68899999999999</v>
      </c>
      <c r="D82" s="57">
        <v>98.764098128098084</v>
      </c>
      <c r="E82" s="58">
        <f>65+10.774145044353</f>
        <v>75.774145044353006</v>
      </c>
      <c r="F82" s="22">
        <v>72.385463495036262</v>
      </c>
      <c r="G82" s="79">
        <v>97.688945502313217</v>
      </c>
      <c r="H82" s="22">
        <v>95.823094050012031</v>
      </c>
      <c r="I82" s="21">
        <f>65+7.54608201610482</f>
        <v>72.546082016104819</v>
      </c>
      <c r="J82" s="37">
        <v>67.107419680753111</v>
      </c>
      <c r="K82" s="24">
        <v>94.926437775804089</v>
      </c>
      <c r="L82" s="23">
        <v>4.5</v>
      </c>
      <c r="M82" s="21">
        <v>5.4</v>
      </c>
    </row>
    <row r="83" spans="1:15" ht="15" thickBot="1" x14ac:dyDescent="0.4">
      <c r="B83" s="36" t="s">
        <v>76</v>
      </c>
      <c r="C83" s="20">
        <v>155.76499999999999</v>
      </c>
      <c r="D83" s="57">
        <v>97.300869390421767</v>
      </c>
      <c r="E83" s="58">
        <f>65+11.3768442336308</f>
        <v>76.376844233630806</v>
      </c>
      <c r="F83" s="22">
        <v>76.44647332516395</v>
      </c>
      <c r="G83" s="79">
        <v>97.063523353191854</v>
      </c>
      <c r="H83" s="22">
        <v>93.816557450727146</v>
      </c>
      <c r="I83" s="21">
        <f>65+9.10665178324102</f>
        <v>74.10665178324102</v>
      </c>
      <c r="J83" s="37">
        <v>72.45558928638448</v>
      </c>
      <c r="K83" s="24">
        <v>96.608138241015368</v>
      </c>
      <c r="L83" s="23">
        <v>6.7</v>
      </c>
      <c r="M83" s="23">
        <v>5.0999999999999996</v>
      </c>
    </row>
    <row r="84" spans="1:15" ht="15" thickBot="1" x14ac:dyDescent="0.4">
      <c r="B84" s="36" t="s">
        <v>78</v>
      </c>
      <c r="C84" s="20">
        <v>156.18200000000002</v>
      </c>
      <c r="D84" s="57">
        <v>103.61718866374184</v>
      </c>
      <c r="E84" s="58">
        <f>65+10.4949285848803</f>
        <v>75.494928584880299</v>
      </c>
      <c r="F84" s="22">
        <v>65.172900544993368</v>
      </c>
      <c r="G84" s="79">
        <v>101.47029644659831</v>
      </c>
      <c r="H84" s="22">
        <v>98.823155517739934</v>
      </c>
      <c r="I84" s="21">
        <f>65+8.30262145886364</f>
        <v>73.302621458863641</v>
      </c>
      <c r="J84" s="37">
        <v>64.067164291475464</v>
      </c>
      <c r="K84" s="24">
        <v>96.904912553360077</v>
      </c>
      <c r="L84" s="23">
        <v>6.1</v>
      </c>
      <c r="M84" s="21">
        <v>4.4000000000000004</v>
      </c>
    </row>
    <row r="85" spans="1:15" ht="15" thickBot="1" x14ac:dyDescent="0.4">
      <c r="B85" s="36" t="s">
        <v>80</v>
      </c>
      <c r="C85" s="20">
        <v>156.51300000000001</v>
      </c>
      <c r="D85" s="57">
        <v>97.807185637001012</v>
      </c>
      <c r="E85" s="58">
        <f>65+9.92468041795878</f>
        <v>74.924680417958783</v>
      </c>
      <c r="F85" s="22">
        <v>74.426166549296099</v>
      </c>
      <c r="G85" s="79">
        <v>95.598695759311752</v>
      </c>
      <c r="H85" s="22">
        <v>94.97313769797519</v>
      </c>
      <c r="I85" s="21">
        <f>65+7.71093334060056</f>
        <v>72.710933340600562</v>
      </c>
      <c r="J85" s="37">
        <v>67.586337301135941</v>
      </c>
      <c r="K85" s="24">
        <v>95.622290540703332</v>
      </c>
      <c r="L85" s="23">
        <v>6.9</v>
      </c>
      <c r="M85" s="21">
        <v>4.5999999999999996</v>
      </c>
    </row>
    <row r="86" spans="1:15" ht="15" thickBot="1" x14ac:dyDescent="0.4">
      <c r="B86" s="36" t="s">
        <v>79</v>
      </c>
      <c r="C86" s="20">
        <v>156.62</v>
      </c>
      <c r="D86" s="57">
        <v>105.38820732687495</v>
      </c>
      <c r="E86" s="58">
        <f>65+12.251393271283</f>
        <v>77.251393271283007</v>
      </c>
      <c r="F86" s="22">
        <v>69.123904258966434</v>
      </c>
      <c r="G86" s="79">
        <v>106.24910141312262</v>
      </c>
      <c r="H86" s="22">
        <v>98.164976810550556</v>
      </c>
      <c r="I86" s="21">
        <f>65+7.54344396928964</f>
        <v>72.54344396928964</v>
      </c>
      <c r="J86" s="37">
        <v>63.424888855475785</v>
      </c>
      <c r="K86" s="24">
        <v>99.381419597271204</v>
      </c>
      <c r="L86" s="21">
        <v>5.4</v>
      </c>
      <c r="M86" s="23">
        <v>4.8</v>
      </c>
    </row>
    <row r="87" spans="1:15" ht="15" thickBot="1" x14ac:dyDescent="0.4">
      <c r="B87" s="36" t="s">
        <v>196</v>
      </c>
      <c r="C87" s="20">
        <v>157.352</v>
      </c>
      <c r="D87" s="22">
        <v>103.36620483381836</v>
      </c>
      <c r="E87" s="58">
        <f>65+10.362270858707</f>
        <v>75.362270858707006</v>
      </c>
      <c r="F87" s="22">
        <v>66.593567211660044</v>
      </c>
      <c r="G87" s="79">
        <v>102.14368128726036</v>
      </c>
      <c r="H87" s="22">
        <v>96.779776427774294</v>
      </c>
      <c r="I87" s="21">
        <f>65+7.70595479219696</f>
        <v>72.705954792196962</v>
      </c>
      <c r="J87" s="37">
        <v>62.956830958142127</v>
      </c>
      <c r="K87" s="24">
        <v>95.021330209455613</v>
      </c>
      <c r="L87" s="21">
        <v>5.5</v>
      </c>
      <c r="M87" s="21">
        <v>5.0999999999999996</v>
      </c>
    </row>
    <row r="88" spans="1:15" ht="15" thickBot="1" x14ac:dyDescent="0.4">
      <c r="B88" s="36" t="s">
        <v>82</v>
      </c>
      <c r="C88" s="20">
        <v>157.53399999999999</v>
      </c>
      <c r="D88" s="22">
        <v>108.8584019941835</v>
      </c>
      <c r="E88" s="58">
        <f>65+11.2240190461763</f>
        <v>76.224019046176295</v>
      </c>
      <c r="F88" s="22">
        <v>65.581848432041937</v>
      </c>
      <c r="G88" s="79">
        <v>108.19507351418198</v>
      </c>
      <c r="H88" s="22">
        <v>100.37871232524982</v>
      </c>
      <c r="I88" s="21">
        <f>65+7.13534611888559</f>
        <v>72.135346118885593</v>
      </c>
      <c r="J88" s="37">
        <v>62.097589286384483</v>
      </c>
      <c r="K88" s="24">
        <v>96.241753106850524</v>
      </c>
      <c r="L88" s="23">
        <v>7</v>
      </c>
      <c r="M88" s="23">
        <v>5.5</v>
      </c>
    </row>
    <row r="89" spans="1:15" ht="15" thickBot="1" x14ac:dyDescent="0.4">
      <c r="B89" s="36" t="s">
        <v>81</v>
      </c>
      <c r="C89" s="20">
        <v>157.80200000000002</v>
      </c>
      <c r="D89" s="22">
        <v>98.595226440116079</v>
      </c>
      <c r="E89" s="58">
        <f>65+9.71162024944351</f>
        <v>74.711620249443513</v>
      </c>
      <c r="F89" s="22">
        <v>73.687062926775042</v>
      </c>
      <c r="G89" s="79">
        <v>96.236845305606465</v>
      </c>
      <c r="H89" s="22">
        <v>93.739065276726748</v>
      </c>
      <c r="I89" s="21">
        <f>65+7.76480658665385</f>
        <v>72.764806586653847</v>
      </c>
      <c r="J89" s="37">
        <v>68.923298580046449</v>
      </c>
      <c r="K89" s="24">
        <v>90.978282806283786</v>
      </c>
      <c r="L89" s="23">
        <v>6.9</v>
      </c>
      <c r="M89" s="23">
        <v>4.5999999999999996</v>
      </c>
    </row>
    <row r="90" spans="1:15" ht="15" thickBot="1" x14ac:dyDescent="0.4">
      <c r="B90" s="36" t="s">
        <v>83</v>
      </c>
      <c r="C90" s="20">
        <v>157.97300000000001</v>
      </c>
      <c r="D90" s="22">
        <v>96.621165976253934</v>
      </c>
      <c r="E90" s="58">
        <f>65+13.6551109420682</f>
        <v>78.655110942068205</v>
      </c>
      <c r="F90" s="22">
        <v>76.090123361080416</v>
      </c>
      <c r="G90" s="79">
        <v>98.932460990741973</v>
      </c>
      <c r="H90" s="22">
        <v>90.253854230329949</v>
      </c>
      <c r="I90" s="21">
        <f>65+8.99995354593715</f>
        <v>73.999953545937146</v>
      </c>
      <c r="J90" s="37">
        <v>71.932416635838891</v>
      </c>
      <c r="K90" s="24">
        <v>91.875091363604284</v>
      </c>
      <c r="L90" s="23">
        <v>6.4</v>
      </c>
      <c r="M90" s="23">
        <v>4.5999999999999996</v>
      </c>
    </row>
    <row r="91" spans="1:15" ht="15" thickBot="1" x14ac:dyDescent="0.4">
      <c r="B91" s="36" t="s">
        <v>84</v>
      </c>
      <c r="C91" s="20">
        <v>158.85399999999998</v>
      </c>
      <c r="D91" s="22">
        <v>101.50075639306195</v>
      </c>
      <c r="E91" s="58">
        <f>65+11.5769210086046</f>
        <v>76.5769210086046</v>
      </c>
      <c r="F91" s="22">
        <v>71.23272347960814</v>
      </c>
      <c r="G91" s="79">
        <v>101.23361604120458</v>
      </c>
      <c r="H91" s="22">
        <v>94.409197224492033</v>
      </c>
      <c r="I91" s="21">
        <f>65+8.4248336734511</f>
        <v>73.424833673451104</v>
      </c>
      <c r="J91" s="37">
        <v>67.32925595305116</v>
      </c>
      <c r="K91" s="24">
        <v>92.769490548895135</v>
      </c>
      <c r="L91" s="23">
        <v>8</v>
      </c>
      <c r="M91" s="23">
        <v>4.7</v>
      </c>
    </row>
    <row r="92" spans="1:15" ht="15" thickBot="1" x14ac:dyDescent="0.4">
      <c r="B92" s="30" t="s">
        <v>85</v>
      </c>
      <c r="C92" s="20">
        <v>160.251</v>
      </c>
      <c r="D92" s="22">
        <v>103.41444617542415</v>
      </c>
      <c r="E92" s="58">
        <f>65+11.5570747099767</f>
        <v>76.557074709976703</v>
      </c>
      <c r="F92" s="22">
        <v>66.607009892093927</v>
      </c>
      <c r="G92" s="79">
        <v>103.31252384206584</v>
      </c>
      <c r="H92" s="22">
        <v>97.550821419259961</v>
      </c>
      <c r="I92" s="21">
        <f>65+7.54797215510806</f>
        <v>72.547972155108056</v>
      </c>
      <c r="J92" s="22">
        <v>62.536224047445018</v>
      </c>
      <c r="K92" s="24">
        <v>99.833660831119801</v>
      </c>
      <c r="L92" s="21">
        <v>4.0999999999999996</v>
      </c>
      <c r="M92" s="21">
        <v>2.6</v>
      </c>
    </row>
    <row r="93" spans="1:15" ht="15" thickBot="1" x14ac:dyDescent="0.4">
      <c r="B93" s="30" t="s">
        <v>86</v>
      </c>
      <c r="C93" s="20">
        <v>161.34199999999998</v>
      </c>
      <c r="D93" s="22">
        <v>101.20971622982958</v>
      </c>
      <c r="E93" s="58">
        <f>65+10.3211929358436</f>
        <v>75.321192935843598</v>
      </c>
      <c r="F93" s="22">
        <v>70.280302153988387</v>
      </c>
      <c r="G93" s="79">
        <v>99.717390034678431</v>
      </c>
      <c r="H93" s="22">
        <v>93.316936673740926</v>
      </c>
      <c r="I93" s="21">
        <f>65+8.0311077460772</f>
        <v>73.031107746077197</v>
      </c>
      <c r="J93" s="37">
        <v>66.675447922698268</v>
      </c>
      <c r="K93" s="24">
        <v>92.111067898817481</v>
      </c>
      <c r="L93" s="21">
        <v>4.9000000000000004</v>
      </c>
      <c r="M93" s="23">
        <v>4.5</v>
      </c>
    </row>
    <row r="94" spans="1:15" ht="15" thickBot="1" x14ac:dyDescent="0.4">
      <c r="B94" s="36" t="s">
        <v>87</v>
      </c>
      <c r="C94" s="20">
        <v>162.37200000000001</v>
      </c>
      <c r="D94" s="22">
        <v>108.33859462375187</v>
      </c>
      <c r="E94" s="21">
        <f>65+13.7494677783692</f>
        <v>78.749467778369194</v>
      </c>
      <c r="F94" s="22">
        <v>65.043900544993363</v>
      </c>
      <c r="G94" s="24">
        <v>111.63986173963541</v>
      </c>
      <c r="H94" s="22">
        <v>95.000132372146439</v>
      </c>
      <c r="I94" s="21">
        <f>65+9.78373256997477</f>
        <v>74.783732569974774</v>
      </c>
      <c r="J94" s="37">
        <v>63.756997624808783</v>
      </c>
      <c r="K94" s="24">
        <v>94.903629740602668</v>
      </c>
      <c r="L94" s="23">
        <v>5.7</v>
      </c>
      <c r="M94" s="21">
        <v>3.8</v>
      </c>
    </row>
    <row r="95" spans="1:15" ht="15" thickBot="1" x14ac:dyDescent="0.4">
      <c r="B95" s="36" t="s">
        <v>88</v>
      </c>
      <c r="C95" s="20">
        <v>167.589</v>
      </c>
      <c r="D95" s="22">
        <v>101.23312383794482</v>
      </c>
      <c r="E95" s="21">
        <f>65+10.0569643860975</f>
        <v>75.056964386097505</v>
      </c>
      <c r="F95" s="22">
        <v>73.673981211397219</v>
      </c>
      <c r="G95" s="24">
        <v>99.258273622977939</v>
      </c>
      <c r="H95" s="22">
        <v>91.74423607203272</v>
      </c>
      <c r="I95" s="21">
        <f>65+6.66753943712025</f>
        <v>71.667539437120254</v>
      </c>
      <c r="J95" s="37">
        <v>68.110462338608983</v>
      </c>
      <c r="K95" s="24">
        <v>89.036914935056444</v>
      </c>
      <c r="L95" s="21">
        <v>5.0999999999999996</v>
      </c>
      <c r="M95" s="23">
        <v>3.6</v>
      </c>
    </row>
    <row r="96" spans="1:15" ht="15" thickBot="1" x14ac:dyDescent="0.4">
      <c r="B96" s="12" t="s">
        <v>4</v>
      </c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</row>
    <row r="97" spans="2:14" ht="15" thickBot="1" x14ac:dyDescent="0.4">
      <c r="B97" s="30" t="s">
        <v>89</v>
      </c>
      <c r="C97" s="20">
        <v>151.666</v>
      </c>
      <c r="D97" s="22">
        <v>104.24690787273605</v>
      </c>
      <c r="E97" s="21">
        <f>65+11.9955238342398</f>
        <v>76.995523834239805</v>
      </c>
      <c r="F97" s="22">
        <v>64.756396232390657</v>
      </c>
      <c r="G97" s="24">
        <v>104.61451674767542</v>
      </c>
      <c r="H97" s="22">
        <v>105.81040690850473</v>
      </c>
      <c r="I97" s="21">
        <f>65+7.79198940811126</f>
        <v>72.791989408111263</v>
      </c>
      <c r="J97" s="37">
        <v>59.821977436723756</v>
      </c>
      <c r="K97" s="24">
        <v>108.80910421524879</v>
      </c>
      <c r="L97" s="21">
        <v>3</v>
      </c>
      <c r="M97" s="21">
        <v>6.5</v>
      </c>
    </row>
    <row r="98" spans="2:14" ht="15" thickBot="1" x14ac:dyDescent="0.4">
      <c r="B98" s="36" t="s">
        <v>90</v>
      </c>
      <c r="C98" s="20">
        <v>153.01600000000002</v>
      </c>
      <c r="D98" s="59">
        <v>99.782924741521796</v>
      </c>
      <c r="E98" s="60">
        <f>65+10.3257142347165</f>
        <v>75.3257142347165</v>
      </c>
      <c r="F98" s="59">
        <v>65.757768096706954</v>
      </c>
      <c r="G98" s="80">
        <v>97.753167323420655</v>
      </c>
      <c r="H98" s="59">
        <v>101.37143215429985</v>
      </c>
      <c r="I98" s="60">
        <f>65+6.7117468326112</f>
        <v>71.711746832611198</v>
      </c>
      <c r="J98" s="61">
        <v>62.42819029045198</v>
      </c>
      <c r="K98" s="80">
        <v>104.77592954404675</v>
      </c>
      <c r="L98" s="21">
        <v>7.1</v>
      </c>
      <c r="M98" s="21">
        <v>6</v>
      </c>
    </row>
    <row r="99" spans="2:14" ht="15" thickBot="1" x14ac:dyDescent="0.4">
      <c r="B99" s="64" t="s">
        <v>178</v>
      </c>
      <c r="C99" s="20">
        <v>153.02699999999999</v>
      </c>
      <c r="D99" s="59">
        <v>101.20603458506649</v>
      </c>
      <c r="E99" s="60">
        <f>65+12.9767822457896</f>
        <v>77.976782245789593</v>
      </c>
      <c r="F99" s="59">
        <v>56.57628171186979</v>
      </c>
      <c r="G99" s="81">
        <v>102.25135042679204</v>
      </c>
      <c r="H99" s="59">
        <v>100.7113815682582</v>
      </c>
      <c r="I99" s="60">
        <f>65+9.48953886366272</f>
        <v>74.489538863662716</v>
      </c>
      <c r="J99" s="59">
        <v>51.650728753052462</v>
      </c>
      <c r="K99" s="81">
        <v>106.45066890520447</v>
      </c>
      <c r="L99" s="21">
        <v>5.9</v>
      </c>
      <c r="M99" s="23">
        <v>6.5</v>
      </c>
      <c r="N99" t="s">
        <v>211</v>
      </c>
    </row>
    <row r="100" spans="2:14" ht="15" thickBot="1" x14ac:dyDescent="0.4">
      <c r="B100" s="36" t="s">
        <v>91</v>
      </c>
      <c r="C100" s="20">
        <v>153.27800000000002</v>
      </c>
      <c r="D100" s="59">
        <v>103.68060440562626</v>
      </c>
      <c r="E100" s="60">
        <f>65+11.3666299752077</f>
        <v>76.366629975207701</v>
      </c>
      <c r="F100" s="59">
        <v>62.755709340653574</v>
      </c>
      <c r="G100" s="80">
        <v>102.90084446290805</v>
      </c>
      <c r="H100" s="59">
        <v>101.92539339020252</v>
      </c>
      <c r="I100" s="60">
        <f>65+9.0884497936201</f>
        <v>74.0884497936201</v>
      </c>
      <c r="J100" s="61">
        <v>57.88642828459745</v>
      </c>
      <c r="K100" s="80">
        <v>104.3424703078218</v>
      </c>
      <c r="L100" s="21">
        <v>5.8</v>
      </c>
      <c r="M100" s="21">
        <v>6.3</v>
      </c>
    </row>
    <row r="101" spans="2:14" ht="15" thickBot="1" x14ac:dyDescent="0.4">
      <c r="B101" s="36" t="s">
        <v>92</v>
      </c>
      <c r="C101" s="20">
        <v>153.33100000000002</v>
      </c>
      <c r="D101" s="59">
        <v>101.55010260054567</v>
      </c>
      <c r="E101" s="60">
        <f>65+11.6895883069874</f>
        <v>76.689588306987403</v>
      </c>
      <c r="F101" s="59">
        <v>68.173924981138327</v>
      </c>
      <c r="G101" s="80">
        <v>101.68521618697169</v>
      </c>
      <c r="H101" s="59">
        <v>99.941993785281738</v>
      </c>
      <c r="I101" s="60">
        <f>65+8.60225169428996</f>
        <v>73.602251694289961</v>
      </c>
      <c r="J101" s="61">
        <v>62.623919680753104</v>
      </c>
      <c r="K101" s="80">
        <v>103.29491259760123</v>
      </c>
      <c r="L101" s="21">
        <v>6.7</v>
      </c>
      <c r="M101" s="23">
        <v>6.3</v>
      </c>
    </row>
    <row r="102" spans="2:14" ht="15" thickBot="1" x14ac:dyDescent="0.4">
      <c r="B102" s="36" t="s">
        <v>177</v>
      </c>
      <c r="C102" s="20">
        <v>153.404</v>
      </c>
      <c r="D102" s="59">
        <v>102.115063952908</v>
      </c>
      <c r="E102" s="60">
        <f>65+11.7138687078144</f>
        <v>76.713868707814399</v>
      </c>
      <c r="F102" s="59">
        <v>63.860422564952906</v>
      </c>
      <c r="G102" s="80">
        <v>101.88346844558868</v>
      </c>
      <c r="H102" s="59">
        <v>108.41535204584495</v>
      </c>
      <c r="I102" s="60">
        <f>65+9.36246015265743</f>
        <v>74.362460152657434</v>
      </c>
      <c r="J102" s="59">
        <v>58.662580338669237</v>
      </c>
      <c r="K102" s="80">
        <v>112.53308948901622</v>
      </c>
      <c r="L102" s="21">
        <v>5.5</v>
      </c>
      <c r="M102" s="23">
        <v>5.9</v>
      </c>
    </row>
    <row r="103" spans="2:14" ht="15" thickBot="1" x14ac:dyDescent="0.4">
      <c r="B103" s="30" t="s">
        <v>93</v>
      </c>
      <c r="C103" s="20">
        <v>153.74099999999999</v>
      </c>
      <c r="D103" s="59">
        <v>103.42344106717502</v>
      </c>
      <c r="E103" s="60">
        <f>65+11.118101005145</f>
        <v>76.118101005145007</v>
      </c>
      <c r="F103" s="59">
        <v>65.331699255645162</v>
      </c>
      <c r="G103" s="80">
        <v>102.67105722959111</v>
      </c>
      <c r="H103" s="59">
        <v>101.75479908319201</v>
      </c>
      <c r="I103" s="60">
        <f>65+7.74129509925456</f>
        <v>72.741295099254557</v>
      </c>
      <c r="J103" s="61">
        <v>60.129298580046424</v>
      </c>
      <c r="K103" s="80">
        <v>103.71862408078893</v>
      </c>
      <c r="L103" s="21">
        <v>6.8</v>
      </c>
      <c r="M103" s="21">
        <v>6.8</v>
      </c>
    </row>
    <row r="104" spans="2:14" ht="15" thickBot="1" x14ac:dyDescent="0.4">
      <c r="B104" s="36" t="s">
        <v>94</v>
      </c>
      <c r="C104" s="20">
        <v>155.13400000000001</v>
      </c>
      <c r="D104" s="59">
        <v>99.847856143983833</v>
      </c>
      <c r="E104" s="60">
        <f>65+11.8411929358436</f>
        <v>76.841192935843594</v>
      </c>
      <c r="F104" s="59">
        <v>66.939402153988368</v>
      </c>
      <c r="G104" s="80">
        <v>99.86756301630642</v>
      </c>
      <c r="H104" s="59">
        <v>99.912107563704538</v>
      </c>
      <c r="I104" s="60">
        <f>65+8.34710774607719</f>
        <v>73.347107746077185</v>
      </c>
      <c r="J104" s="61">
        <v>62.65044792269827</v>
      </c>
      <c r="K104" s="80">
        <v>103.78407749470263</v>
      </c>
      <c r="L104" s="21">
        <v>4.4000000000000004</v>
      </c>
      <c r="M104" s="21">
        <v>6.6</v>
      </c>
    </row>
    <row r="105" spans="2:14" ht="15" thickBot="1" x14ac:dyDescent="0.4">
      <c r="B105" s="36" t="s">
        <v>95</v>
      </c>
      <c r="C105" s="20">
        <v>155.36799999999999</v>
      </c>
      <c r="D105" s="59">
        <v>106.81985257915528</v>
      </c>
      <c r="E105" s="60">
        <f>65+12.9072761560881</f>
        <v>77.907276156088102</v>
      </c>
      <c r="F105" s="59">
        <v>65.735353672447332</v>
      </c>
      <c r="G105" s="80">
        <v>108.53717954187034</v>
      </c>
      <c r="H105" s="59">
        <v>106.11854508892544</v>
      </c>
      <c r="I105" s="60">
        <f>65+7.62877013364822</f>
        <v>72.628770133648217</v>
      </c>
      <c r="J105" s="61">
        <v>62.630252691739486</v>
      </c>
      <c r="K105" s="80">
        <v>109.64530729899478</v>
      </c>
      <c r="L105" s="21">
        <v>5.8</v>
      </c>
      <c r="M105" s="21">
        <v>5.8</v>
      </c>
    </row>
    <row r="106" spans="2:14" ht="15" thickBot="1" x14ac:dyDescent="0.4">
      <c r="B106" s="30" t="s">
        <v>96</v>
      </c>
      <c r="C106" s="20">
        <v>155.98699999999999</v>
      </c>
      <c r="D106" s="59">
        <v>102.73399039324659</v>
      </c>
      <c r="E106" s="60">
        <f>65+12.1586074470699</f>
        <v>77.158607447069897</v>
      </c>
      <c r="F106" s="59">
        <v>67.566596575966713</v>
      </c>
      <c r="G106" s="80">
        <v>103.2376951530487</v>
      </c>
      <c r="H106" s="59">
        <v>102.76932869753189</v>
      </c>
      <c r="I106" s="60">
        <f>65+9.26617796612184</f>
        <v>74.266177966121845</v>
      </c>
      <c r="J106" s="61">
        <v>62.689564884552013</v>
      </c>
      <c r="K106" s="80">
        <v>108.7073552459144</v>
      </c>
      <c r="L106" s="21">
        <v>6.6</v>
      </c>
      <c r="M106" s="23">
        <v>6.4</v>
      </c>
    </row>
    <row r="107" spans="2:14" ht="15" thickBot="1" x14ac:dyDescent="0.4">
      <c r="B107" s="30" t="s">
        <v>179</v>
      </c>
      <c r="C107" s="20">
        <v>156.346</v>
      </c>
      <c r="D107" s="59">
        <v>105.15233203966329</v>
      </c>
      <c r="E107" s="60">
        <f>65+13.4055353744811</f>
        <v>78.405535374481104</v>
      </c>
      <c r="F107" s="59">
        <v>63.746589231619566</v>
      </c>
      <c r="G107" s="80">
        <v>107.1210540671274</v>
      </c>
      <c r="H107" s="59">
        <v>101.10021156666426</v>
      </c>
      <c r="I107" s="60">
        <f>65+10.6607934859908</f>
        <v>75.660793485990794</v>
      </c>
      <c r="J107" s="59">
        <v>57.121747005335884</v>
      </c>
      <c r="K107" s="80">
        <v>102.01609341524083</v>
      </c>
      <c r="L107" s="21">
        <v>5.8</v>
      </c>
      <c r="M107" s="23">
        <v>6.3</v>
      </c>
    </row>
    <row r="108" spans="2:14" ht="15" thickBot="1" x14ac:dyDescent="0.4">
      <c r="B108" s="30" t="s">
        <v>97</v>
      </c>
      <c r="C108" s="20">
        <v>157.40800000000002</v>
      </c>
      <c r="D108" s="59">
        <v>102.21355568423553</v>
      </c>
      <c r="E108" s="60">
        <f>65+12.3686199786008</f>
        <v>77.368619978600805</v>
      </c>
      <c r="F108" s="59">
        <v>67.994827255933814</v>
      </c>
      <c r="G108" s="80">
        <v>102.9929212779422</v>
      </c>
      <c r="H108" s="59">
        <v>97.632545902817355</v>
      </c>
      <c r="I108" s="60">
        <f>65+8.31677460411983</f>
        <v>73.316774604119828</v>
      </c>
      <c r="J108" s="61">
        <v>65.243418242824362</v>
      </c>
      <c r="K108" s="80">
        <v>98.558839469112542</v>
      </c>
      <c r="L108" s="21">
        <v>6.8</v>
      </c>
      <c r="M108" s="23">
        <v>6.4</v>
      </c>
    </row>
    <row r="109" spans="2:14" ht="15" thickBot="1" x14ac:dyDescent="0.4">
      <c r="B109" s="30" t="s">
        <v>98</v>
      </c>
      <c r="C109" s="20">
        <v>160.57599999999999</v>
      </c>
      <c r="D109" s="59">
        <v>98.680157019748506</v>
      </c>
      <c r="E109" s="60">
        <f>65+11.2603234939614</f>
        <v>76.260323493961394</v>
      </c>
      <c r="F109" s="59">
        <v>66.614848158346945</v>
      </c>
      <c r="G109" s="80">
        <v>98.201819408898601</v>
      </c>
      <c r="H109" s="59">
        <v>97.489754948535108</v>
      </c>
      <c r="I109" s="60">
        <f>65+7.34305241706474</f>
        <v>72.34305241706474</v>
      </c>
      <c r="J109" s="61">
        <v>63.085003014086425</v>
      </c>
      <c r="K109" s="80">
        <v>98.497655355125033</v>
      </c>
      <c r="L109" s="21">
        <v>6.6</v>
      </c>
      <c r="M109" s="23">
        <v>6.5</v>
      </c>
    </row>
    <row r="110" spans="2:14" x14ac:dyDescent="0.35">
      <c r="B110" s="38"/>
    </row>
  </sheetData>
  <mergeCells count="51">
    <mergeCell ref="C96:M96"/>
    <mergeCell ref="H59:H60"/>
    <mergeCell ref="L6:M6"/>
    <mergeCell ref="C11:M11"/>
    <mergeCell ref="C7:M7"/>
    <mergeCell ref="F59:F60"/>
    <mergeCell ref="F21:F22"/>
    <mergeCell ref="J21:J22"/>
    <mergeCell ref="L22:M22"/>
    <mergeCell ref="F5:F6"/>
    <mergeCell ref="J59:J60"/>
    <mergeCell ref="C23:M23"/>
    <mergeCell ref="C37:M37"/>
    <mergeCell ref="L57:L59"/>
    <mergeCell ref="D57:G58"/>
    <mergeCell ref="H57:K58"/>
    <mergeCell ref="L3:L5"/>
    <mergeCell ref="M3:M5"/>
    <mergeCell ref="H5:H6"/>
    <mergeCell ref="I5:I6"/>
    <mergeCell ref="I21:I22"/>
    <mergeCell ref="H3:K4"/>
    <mergeCell ref="J5:J6"/>
    <mergeCell ref="K5:K6"/>
    <mergeCell ref="H19:K20"/>
    <mergeCell ref="K21:K22"/>
    <mergeCell ref="C61:M61"/>
    <mergeCell ref="L19:L21"/>
    <mergeCell ref="M19:M21"/>
    <mergeCell ref="M57:M59"/>
    <mergeCell ref="I59:I60"/>
    <mergeCell ref="H21:H22"/>
    <mergeCell ref="C19:C22"/>
    <mergeCell ref="D21:D22"/>
    <mergeCell ref="E21:E22"/>
    <mergeCell ref="L60:M60"/>
    <mergeCell ref="E59:E60"/>
    <mergeCell ref="G59:G60"/>
    <mergeCell ref="K59:K60"/>
    <mergeCell ref="D19:G20"/>
    <mergeCell ref="G21:G22"/>
    <mergeCell ref="B3:B6"/>
    <mergeCell ref="C3:C6"/>
    <mergeCell ref="C57:C60"/>
    <mergeCell ref="B57:B60"/>
    <mergeCell ref="D59:D60"/>
    <mergeCell ref="B19:B22"/>
    <mergeCell ref="D3:G4"/>
    <mergeCell ref="D5:D6"/>
    <mergeCell ref="E5:E6"/>
    <mergeCell ref="G5:G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B56C8A2BA8144789B5A445EF3C202C" ma:contentTypeVersion="4" ma:contentTypeDescription="Create a new document." ma:contentTypeScope="" ma:versionID="753404c403108eb3e10498a7ceb6f933">
  <xsd:schema xmlns:xsd="http://www.w3.org/2001/XMLSchema" xmlns:xs="http://www.w3.org/2001/XMLSchema" xmlns:p="http://schemas.microsoft.com/office/2006/metadata/properties" xmlns:ns2="cd63f4fa-48f0-4faf-9056-9095df944132" targetNamespace="http://schemas.microsoft.com/office/2006/metadata/properties" ma:root="true" ma:fieldsID="7403138867a1ae1f0958a05eb16bc431" ns2:_="">
    <xsd:import namespace="cd63f4fa-48f0-4faf-9056-9095df9441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63f4fa-48f0-4faf-9056-9095df9441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0C53B5-A2D0-45B1-A0B1-A63E90EB49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63f4fa-48f0-4faf-9056-9095df9441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0A29A9A-9247-4ABB-9E27-3712593F2D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1FFC433-882D-4808-AF23-19C43CF56795}">
  <ds:schemaRefs>
    <ds:schemaRef ds:uri="http://schemas.microsoft.com/office/2006/metadata/properties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a12ce54b-3d3d-4346-95ef-ff13ca5dd47d}" enabled="0" method="" siteId="{a12ce54b-3d3d-4346-95ef-ff13ca5dd47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PRGs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Horwell</dc:creator>
  <cp:lastModifiedBy>Victoria Wright</cp:lastModifiedBy>
  <cp:lastPrinted>2017-03-17T12:38:14Z</cp:lastPrinted>
  <dcterms:created xsi:type="dcterms:W3CDTF">2010-03-03T08:25:52Z</dcterms:created>
  <dcterms:modified xsi:type="dcterms:W3CDTF">2024-05-17T07:00:47Z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0x0101007FB56C8A2BA8144789B5A445EF3C202C</vt:lpwstr>
  </property>
</Properties>
</file>